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ANNA\Desktop\Gminy_sprawozdania\"/>
    </mc:Choice>
  </mc:AlternateContent>
  <xr:revisionPtr revIDLastSave="0" documentId="8_{D9642D92-2801-4E15-97E0-4DE9C8B2BC05}" xr6:coauthVersionLast="47" xr6:coauthVersionMax="47" xr10:uidLastSave="{00000000-0000-0000-0000-000000000000}"/>
  <bookViews>
    <workbookView xWindow="-120" yWindow="-120" windowWidth="29040" windowHeight="15720" activeTab="1" xr2:uid="{120050B4-2223-42A6-98D1-E3101D3252D3}"/>
  </bookViews>
  <sheets>
    <sheet name="pomocfinansowa_parafie_Tabela1" sheetId="3" r:id="rId1"/>
    <sheet name="Karty przedpłacone_Tabela2" sheetId="1" r:id="rId2"/>
    <sheet name="Karty budowlane_Tabela3" sheetId="2" r:id="rId3"/>
    <sheet name="Skrzydła_Tabela4" sheetId="11" r:id="rId4"/>
    <sheet name="Niechsiępowodzi_Tabela5" sheetId="5" r:id="rId5"/>
    <sheet name="Darowizny_indywidualne_Tabela6" sheetId="4" r:id="rId6"/>
    <sheet name="obiekty_kościelne_Tabela7" sheetId="10" r:id="rId7"/>
  </sheets>
  <definedNames>
    <definedName name="_xlnm._FilterDatabase" localSheetId="5" hidden="1">Darowizny_indywidualne_Tabela6!$A$2:$D$84</definedName>
    <definedName name="_xlnm._FilterDatabase" localSheetId="2" hidden="1">'Karty budowlane_Tabela3'!$A$2:$E$111</definedName>
    <definedName name="_xlnm._FilterDatabase" localSheetId="1" hidden="1">'Karty przedpłacone_Tabela2'!$A$2:$E$117</definedName>
    <definedName name="_xlnm._FilterDatabase" localSheetId="4" hidden="1">Niechsiępowodzi_Tabela5!$A$2:$D$31</definedName>
    <definedName name="_xlnm._FilterDatabase" localSheetId="6" hidden="1">obiekty_kościelne_Tabela7!$A$2:$D$14</definedName>
    <definedName name="_xlnm._FilterDatabase" localSheetId="0" hidden="1">pomocfinansowa_parafie_Tabela1!$A$2:$D$84</definedName>
    <definedName name="_xlnm._FilterDatabase" localSheetId="3" hidden="1">Skrzydła_Tabela4!$A$2:$E$62</definedName>
    <definedName name="_xlnm.Print_Titles" localSheetId="5">Darowizny_indywidualne_Tabela6!$1:$2</definedName>
    <definedName name="_xlnm.Print_Titles" localSheetId="2">'Karty budowlane_Tabela3'!$1:$2</definedName>
    <definedName name="_xlnm.Print_Titles" localSheetId="1">'Karty przedpłacone_Tabela2'!$1:$2</definedName>
    <definedName name="_xlnm.Print_Titles" localSheetId="0">pomocfinansowa_parafie_Tabela1!$1:$2</definedName>
    <definedName name="_xlnm.Print_Titles" localSheetId="3">Skrzydła_Tabela4!$2:$2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0" l="1"/>
  <c r="D4" i="10"/>
  <c r="E63" i="11"/>
  <c r="D63" i="11"/>
  <c r="E60" i="11"/>
  <c r="D60" i="11"/>
  <c r="E57" i="11"/>
  <c r="D57" i="11"/>
  <c r="E55" i="11"/>
  <c r="D55" i="11"/>
  <c r="E53" i="11"/>
  <c r="D53" i="11"/>
  <c r="E43" i="11"/>
  <c r="D43" i="11"/>
  <c r="E41" i="11"/>
  <c r="D41" i="11"/>
  <c r="E39" i="11"/>
  <c r="D39" i="11"/>
  <c r="E36" i="11"/>
  <c r="D36" i="11"/>
  <c r="E31" i="11"/>
  <c r="D31" i="11"/>
  <c r="E28" i="11"/>
  <c r="D28" i="11"/>
  <c r="E19" i="11"/>
  <c r="D19" i="11"/>
  <c r="E15" i="11"/>
  <c r="D15" i="11"/>
  <c r="E9" i="11"/>
  <c r="D9" i="11"/>
  <c r="E5" i="11"/>
  <c r="E64" i="11" s="1"/>
  <c r="D5" i="11"/>
  <c r="D64" i="11" s="1"/>
  <c r="D112" i="2" l="1"/>
  <c r="D110" i="2"/>
  <c r="D98" i="2"/>
  <c r="D91" i="2"/>
  <c r="D53" i="2"/>
  <c r="D48" i="2"/>
  <c r="D41" i="2"/>
  <c r="D6" i="2"/>
  <c r="D61" i="2"/>
  <c r="D50" i="2" l="1"/>
  <c r="D55" i="2"/>
  <c r="E46" i="2"/>
  <c r="D59" i="2"/>
  <c r="D54" i="2"/>
  <c r="D56" i="2" s="1"/>
  <c r="D105" i="2"/>
  <c r="D77" i="2"/>
  <c r="D14" i="2"/>
  <c r="D76" i="2"/>
  <c r="D58" i="2"/>
  <c r="D49" i="2"/>
  <c r="E63" i="2"/>
  <c r="D19" i="2"/>
  <c r="D21" i="2" s="1"/>
  <c r="D75" i="2"/>
  <c r="D31" i="2"/>
  <c r="D74" i="2"/>
  <c r="D73" i="2"/>
  <c r="D12" i="2"/>
  <c r="D64" i="2"/>
  <c r="D65" i="2" s="1"/>
  <c r="E62" i="2"/>
  <c r="D100" i="2"/>
  <c r="E52" i="2"/>
  <c r="E53" i="2" s="1"/>
  <c r="E43" i="2"/>
  <c r="E40" i="2"/>
  <c r="D70" i="2"/>
  <c r="D10" i="2"/>
  <c r="E85" i="2"/>
  <c r="D68" i="2"/>
  <c r="D26" i="2"/>
  <c r="D9" i="2"/>
  <c r="E39" i="2"/>
  <c r="D25" i="2"/>
  <c r="D7" i="2"/>
  <c r="E83" i="2"/>
  <c r="D23" i="2"/>
  <c r="D22" i="2"/>
  <c r="D66" i="2"/>
  <c r="D6" i="10"/>
  <c r="D10" i="10"/>
  <c r="D13" i="10" s="1"/>
  <c r="D11" i="10"/>
  <c r="D9" i="10" l="1"/>
  <c r="D16" i="10" s="1"/>
  <c r="D81" i="2"/>
  <c r="D107" i="2"/>
  <c r="D38" i="2"/>
  <c r="D15" i="2"/>
  <c r="D113" i="2" s="1"/>
  <c r="E41" i="2"/>
  <c r="D51" i="2"/>
  <c r="D60" i="2"/>
  <c r="D32" i="5" l="1"/>
  <c r="D30" i="5"/>
  <c r="D28" i="5"/>
  <c r="D26" i="5"/>
  <c r="D22" i="5"/>
  <c r="D20" i="5"/>
  <c r="D18" i="5"/>
  <c r="D15" i="5"/>
  <c r="D10" i="5"/>
  <c r="D8" i="5"/>
  <c r="D4" i="5"/>
  <c r="D85" i="4"/>
  <c r="D79" i="4"/>
  <c r="D74" i="4"/>
  <c r="D70" i="4"/>
  <c r="D9" i="4"/>
  <c r="D5" i="4"/>
  <c r="D84" i="3"/>
  <c r="D85" i="3" s="1"/>
  <c r="D76" i="3"/>
  <c r="D82" i="3" s="1"/>
  <c r="D75" i="3"/>
  <c r="D73" i="3"/>
  <c r="D65" i="3"/>
  <c r="D67" i="3" s="1"/>
  <c r="D62" i="3"/>
  <c r="D54" i="3"/>
  <c r="D64" i="3" s="1"/>
  <c r="D53" i="3"/>
  <c r="D51" i="3"/>
  <c r="D48" i="3"/>
  <c r="D47" i="3"/>
  <c r="D46" i="3"/>
  <c r="D44" i="3"/>
  <c r="D45" i="3" s="1"/>
  <c r="D43" i="3"/>
  <c r="D42" i="3"/>
  <c r="D40" i="3"/>
  <c r="D41" i="3" s="1"/>
  <c r="D36" i="3"/>
  <c r="D39" i="3" s="1"/>
  <c r="D35" i="3"/>
  <c r="D30" i="3"/>
  <c r="D29" i="3"/>
  <c r="D28" i="3"/>
  <c r="D26" i="3"/>
  <c r="D25" i="3"/>
  <c r="D19" i="3"/>
  <c r="D23" i="3" s="1"/>
  <c r="D18" i="3"/>
  <c r="D13" i="3"/>
  <c r="D10" i="3"/>
  <c r="D11" i="3" s="1"/>
  <c r="D5" i="3"/>
  <c r="D7" i="3" s="1"/>
  <c r="D4" i="3"/>
  <c r="D86" i="4" l="1"/>
  <c r="D49" i="3"/>
  <c r="D32" i="3"/>
  <c r="D33" i="5"/>
  <c r="D86" i="3"/>
  <c r="E111" i="2" l="1"/>
  <c r="E112" i="2" s="1"/>
  <c r="E109" i="2"/>
  <c r="E108" i="2"/>
  <c r="E110" i="2" s="1"/>
  <c r="E106" i="2"/>
  <c r="E105" i="2"/>
  <c r="E104" i="2"/>
  <c r="E103" i="2"/>
  <c r="E102" i="2"/>
  <c r="E101" i="2"/>
  <c r="E100" i="2"/>
  <c r="E99" i="2"/>
  <c r="E107" i="2" s="1"/>
  <c r="E97" i="2"/>
  <c r="E96" i="2"/>
  <c r="E95" i="2"/>
  <c r="E94" i="2"/>
  <c r="E93" i="2"/>
  <c r="E92" i="2"/>
  <c r="E90" i="2"/>
  <c r="E89" i="2"/>
  <c r="E88" i="2"/>
  <c r="E87" i="2"/>
  <c r="E86" i="2"/>
  <c r="E84" i="2"/>
  <c r="E82" i="2"/>
  <c r="E91" i="2" s="1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4" i="2"/>
  <c r="E61" i="2"/>
  <c r="E65" i="2" s="1"/>
  <c r="E59" i="2"/>
  <c r="E58" i="2"/>
  <c r="E57" i="2"/>
  <c r="E55" i="2"/>
  <c r="E54" i="2"/>
  <c r="E56" i="2" s="1"/>
  <c r="E50" i="2"/>
  <c r="E49" i="2"/>
  <c r="E51" i="2" s="1"/>
  <c r="E47" i="2"/>
  <c r="E45" i="2"/>
  <c r="E44" i="2"/>
  <c r="E42" i="2"/>
  <c r="E48" i="2" s="1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0" i="2"/>
  <c r="E19" i="2"/>
  <c r="E18" i="2"/>
  <c r="E17" i="2"/>
  <c r="E16" i="2"/>
  <c r="E21" i="2" s="1"/>
  <c r="E14" i="2"/>
  <c r="E13" i="2"/>
  <c r="E12" i="2"/>
  <c r="E11" i="2"/>
  <c r="E10" i="2"/>
  <c r="E9" i="2"/>
  <c r="E8" i="2"/>
  <c r="E7" i="2"/>
  <c r="E5" i="2"/>
  <c r="E4" i="2"/>
  <c r="E3" i="2"/>
  <c r="E117" i="1"/>
  <c r="D116" i="1"/>
  <c r="D118" i="1" s="1"/>
  <c r="E115" i="1"/>
  <c r="D114" i="1"/>
  <c r="E113" i="1"/>
  <c r="E114" i="1" s="1"/>
  <c r="E111" i="1"/>
  <c r="D110" i="1"/>
  <c r="D112" i="1" s="1"/>
  <c r="D109" i="1"/>
  <c r="E109" i="1" s="1"/>
  <c r="E108" i="1"/>
  <c r="D107" i="1"/>
  <c r="E107" i="1" s="1"/>
  <c r="E105" i="1"/>
  <c r="E104" i="1"/>
  <c r="D103" i="1"/>
  <c r="E103" i="1" s="1"/>
  <c r="E102" i="1"/>
  <c r="E106" i="1" s="1"/>
  <c r="D102" i="1"/>
  <c r="D106" i="1" s="1"/>
  <c r="D101" i="1"/>
  <c r="E100" i="1"/>
  <c r="E99" i="1"/>
  <c r="E98" i="1"/>
  <c r="D97" i="1"/>
  <c r="E97" i="1" s="1"/>
  <c r="E101" i="1" s="1"/>
  <c r="E96" i="1"/>
  <c r="E95" i="1"/>
  <c r="E93" i="1"/>
  <c r="D92" i="1"/>
  <c r="E92" i="1" s="1"/>
  <c r="D91" i="1"/>
  <c r="E91" i="1" s="1"/>
  <c r="D90" i="1"/>
  <c r="D94" i="1" s="1"/>
  <c r="E89" i="1"/>
  <c r="D89" i="1"/>
  <c r="E88" i="1"/>
  <c r="D88" i="1"/>
  <c r="D87" i="1"/>
  <c r="E87" i="1" s="1"/>
  <c r="D86" i="1"/>
  <c r="E86" i="1" s="1"/>
  <c r="E85" i="1"/>
  <c r="E84" i="1"/>
  <c r="E83" i="1"/>
  <c r="E82" i="1"/>
  <c r="E81" i="1"/>
  <c r="E80" i="1"/>
  <c r="E79" i="1"/>
  <c r="E78" i="1"/>
  <c r="E77" i="1"/>
  <c r="E76" i="1"/>
  <c r="D75" i="1"/>
  <c r="E74" i="1"/>
  <c r="E75" i="1" s="1"/>
  <c r="E72" i="1"/>
  <c r="D71" i="1"/>
  <c r="E71" i="1" s="1"/>
  <c r="D70" i="1"/>
  <c r="E70" i="1" s="1"/>
  <c r="E73" i="1" s="1"/>
  <c r="D69" i="1"/>
  <c r="E68" i="1"/>
  <c r="E67" i="1"/>
  <c r="E66" i="1"/>
  <c r="E69" i="1" s="1"/>
  <c r="E64" i="1"/>
  <c r="D63" i="1"/>
  <c r="E63" i="1" s="1"/>
  <c r="E65" i="1" s="1"/>
  <c r="D62" i="1"/>
  <c r="E61" i="1"/>
  <c r="E62" i="1" s="1"/>
  <c r="D60" i="1"/>
  <c r="E59" i="1"/>
  <c r="E58" i="1"/>
  <c r="E57" i="1"/>
  <c r="E60" i="1" s="1"/>
  <c r="D56" i="1"/>
  <c r="E55" i="1"/>
  <c r="E56" i="1" s="1"/>
  <c r="E54" i="1"/>
  <c r="E53" i="1"/>
  <c r="E52" i="1"/>
  <c r="E51" i="1"/>
  <c r="D50" i="1"/>
  <c r="E49" i="1"/>
  <c r="E48" i="1"/>
  <c r="E50" i="1" s="1"/>
  <c r="E46" i="1"/>
  <c r="E45" i="1"/>
  <c r="E44" i="1"/>
  <c r="E43" i="1"/>
  <c r="E42" i="1"/>
  <c r="E41" i="1"/>
  <c r="D40" i="1"/>
  <c r="E40" i="1" s="1"/>
  <c r="D39" i="1"/>
  <c r="E39" i="1" s="1"/>
  <c r="E38" i="1"/>
  <c r="D38" i="1"/>
  <c r="D37" i="1"/>
  <c r="E37" i="1" s="1"/>
  <c r="E36" i="1"/>
  <c r="D35" i="1"/>
  <c r="E35" i="1" s="1"/>
  <c r="D34" i="1"/>
  <c r="D47" i="1" s="1"/>
  <c r="E33" i="1"/>
  <c r="E32" i="1"/>
  <c r="E31" i="1"/>
  <c r="D31" i="1"/>
  <c r="E30" i="1"/>
  <c r="E28" i="1"/>
  <c r="E27" i="1"/>
  <c r="E26" i="1"/>
  <c r="E25" i="1"/>
  <c r="E24" i="1"/>
  <c r="E23" i="1"/>
  <c r="D22" i="1"/>
  <c r="E22" i="1" s="1"/>
  <c r="E29" i="1" s="1"/>
  <c r="D20" i="1"/>
  <c r="D21" i="1" s="1"/>
  <c r="D19" i="1"/>
  <c r="E19" i="1" s="1"/>
  <c r="D18" i="1"/>
  <c r="E18" i="1" s="1"/>
  <c r="E17" i="1"/>
  <c r="E16" i="1"/>
  <c r="D15" i="1"/>
  <c r="E15" i="1" s="1"/>
  <c r="E14" i="1"/>
  <c r="E13" i="1"/>
  <c r="E11" i="1"/>
  <c r="D10" i="1"/>
  <c r="D12" i="1" s="1"/>
  <c r="E9" i="1"/>
  <c r="D8" i="1"/>
  <c r="E8" i="1" s="1"/>
  <c r="D7" i="1"/>
  <c r="E6" i="1"/>
  <c r="E5" i="1"/>
  <c r="E7" i="1" s="1"/>
  <c r="D4" i="1"/>
  <c r="E3" i="1"/>
  <c r="E60" i="2" l="1"/>
  <c r="E6" i="2"/>
  <c r="E113" i="2" s="1"/>
  <c r="E81" i="2"/>
  <c r="E38" i="2"/>
  <c r="E15" i="2"/>
  <c r="E98" i="2"/>
  <c r="E47" i="1"/>
  <c r="D73" i="1"/>
  <c r="E116" i="1"/>
  <c r="E118" i="1" s="1"/>
  <c r="E90" i="1"/>
  <c r="E94" i="1" s="1"/>
  <c r="D29" i="1"/>
  <c r="D120" i="1" s="1"/>
  <c r="D65" i="1"/>
  <c r="E20" i="1"/>
  <c r="E21" i="1" s="1"/>
  <c r="E110" i="1"/>
  <c r="E112" i="1" s="1"/>
  <c r="E10" i="1"/>
  <c r="E12" i="1" s="1"/>
  <c r="E34" i="1"/>
  <c r="E4" i="1"/>
  <c r="E120" i="1" s="1"/>
</calcChain>
</file>

<file path=xl/sharedStrings.xml><?xml version="1.0" encoding="utf-8"?>
<sst xmlns="http://schemas.openxmlformats.org/spreadsheetml/2006/main" count="1036" uniqueCount="253">
  <si>
    <t>Lp.</t>
  </si>
  <si>
    <t>Gmina</t>
  </si>
  <si>
    <t>Miejscowość</t>
  </si>
  <si>
    <t>Liczba kart</t>
  </si>
  <si>
    <t>Wartość kart</t>
  </si>
  <si>
    <t>1.</t>
  </si>
  <si>
    <t>Biała</t>
  </si>
  <si>
    <t>Pogórze</t>
  </si>
  <si>
    <t>Biała Suma</t>
  </si>
  <si>
    <t>2.</t>
  </si>
  <si>
    <t>Bierawa</t>
  </si>
  <si>
    <t>Lubieszów</t>
  </si>
  <si>
    <t>Bierawa Suma</t>
  </si>
  <si>
    <t>3.</t>
  </si>
  <si>
    <t>Branice</t>
  </si>
  <si>
    <t>Boboluszki</t>
  </si>
  <si>
    <t xml:space="preserve">Branice </t>
  </si>
  <si>
    <t>Dzierżkowice</t>
  </si>
  <si>
    <t>Wiechowice</t>
  </si>
  <si>
    <t>Branice Suma</t>
  </si>
  <si>
    <t>4.</t>
  </si>
  <si>
    <t>Głogówek</t>
  </si>
  <si>
    <t xml:space="preserve">Dzierżysławice </t>
  </si>
  <si>
    <t xml:space="preserve">Głogowiec </t>
  </si>
  <si>
    <t>Pasternik</t>
  </si>
  <si>
    <t>Kierpień</t>
  </si>
  <si>
    <t xml:space="preserve">Leśnik </t>
  </si>
  <si>
    <t>Mochów</t>
  </si>
  <si>
    <t>Racławice Śląskie</t>
  </si>
  <si>
    <t>Głogówek Suma</t>
  </si>
  <si>
    <t>5.</t>
  </si>
  <si>
    <t>Głubczyce</t>
  </si>
  <si>
    <t>Chomiąża</t>
  </si>
  <si>
    <t>Gołuszowice</t>
  </si>
  <si>
    <t>Grobniki</t>
  </si>
  <si>
    <t>Krasne Pole</t>
  </si>
  <si>
    <t>Lenarcice</t>
  </si>
  <si>
    <t xml:space="preserve">Opawica </t>
  </si>
  <si>
    <t>Pomorzowice</t>
  </si>
  <si>
    <t>Głubczyce Suma</t>
  </si>
  <si>
    <t>6.</t>
  </si>
  <si>
    <t>Głuchołazy</t>
  </si>
  <si>
    <t>Biskupów</t>
  </si>
  <si>
    <t>Bodzanów</t>
  </si>
  <si>
    <t>Charbielin</t>
  </si>
  <si>
    <t>Gierałcice</t>
  </si>
  <si>
    <t xml:space="preserve">Głuchołazy </t>
  </si>
  <si>
    <t xml:space="preserve">Jarnołtówek </t>
  </si>
  <si>
    <t>Konradów</t>
  </si>
  <si>
    <t>Markowice</t>
  </si>
  <si>
    <t xml:space="preserve">Nowy Świętów </t>
  </si>
  <si>
    <t>Polski Świętów</t>
  </si>
  <si>
    <t>Sławniowice</t>
  </si>
  <si>
    <t>Stary Las</t>
  </si>
  <si>
    <t>Sucha Kamienica</t>
  </si>
  <si>
    <t>Wilamowice Nyskie</t>
  </si>
  <si>
    <t>Kaszubska Kolonia</t>
  </si>
  <si>
    <t xml:space="preserve">Biskupów </t>
  </si>
  <si>
    <t>Głuchołazy Suma</t>
  </si>
  <si>
    <t>7.</t>
  </si>
  <si>
    <t>Grodków</t>
  </si>
  <si>
    <t>Kopice</t>
  </si>
  <si>
    <t>Więcmierzyce</t>
  </si>
  <si>
    <t>Grodków Suma</t>
  </si>
  <si>
    <t>8.</t>
  </si>
  <si>
    <t>Korfantów</t>
  </si>
  <si>
    <t>Ścinawa Mała</t>
  </si>
  <si>
    <t>Ścinawa Nyska</t>
  </si>
  <si>
    <t>Włodary</t>
  </si>
  <si>
    <t>Włostowa</t>
  </si>
  <si>
    <t>Rynarcice</t>
  </si>
  <si>
    <t>Korfantów Suma</t>
  </si>
  <si>
    <t>9.</t>
  </si>
  <si>
    <t>Krapkowice</t>
  </si>
  <si>
    <t>Pietna</t>
  </si>
  <si>
    <t>Steblów</t>
  </si>
  <si>
    <t>Żywocice</t>
  </si>
  <si>
    <t>Krapkowice Suma</t>
  </si>
  <si>
    <t>10.</t>
  </si>
  <si>
    <t>Krzanowice</t>
  </si>
  <si>
    <t xml:space="preserve">Krzanowice </t>
  </si>
  <si>
    <t>Krzanowice Suma</t>
  </si>
  <si>
    <t>11.</t>
  </si>
  <si>
    <t>Lewin Brzeski</t>
  </si>
  <si>
    <t>Skorogoszcz</t>
  </si>
  <si>
    <t>Wronów</t>
  </si>
  <si>
    <t>Lewin Brzeski Suma</t>
  </si>
  <si>
    <t>12.</t>
  </si>
  <si>
    <t>Lubrza</t>
  </si>
  <si>
    <t>Dytmarów</t>
  </si>
  <si>
    <t>Krzyżkowice</t>
  </si>
  <si>
    <t>Skrzypiec</t>
  </si>
  <si>
    <t>Lubrza Suma</t>
  </si>
  <si>
    <t>13.</t>
  </si>
  <si>
    <t>Łambinowice</t>
  </si>
  <si>
    <t xml:space="preserve">Drogoszów </t>
  </si>
  <si>
    <t>Mańkowice</t>
  </si>
  <si>
    <t>Malerzowice Wielkie</t>
  </si>
  <si>
    <t>Łambinowice Suma</t>
  </si>
  <si>
    <t>14.</t>
  </si>
  <si>
    <t>Niemodlin</t>
  </si>
  <si>
    <t>Magnuszowice</t>
  </si>
  <si>
    <t>Niemodlin Suma</t>
  </si>
  <si>
    <t>15.</t>
  </si>
  <si>
    <t>Nysa</t>
  </si>
  <si>
    <t>Kępnica</t>
  </si>
  <si>
    <t>Koperniki</t>
  </si>
  <si>
    <t>Kubice</t>
  </si>
  <si>
    <t>Morów</t>
  </si>
  <si>
    <t>Piątkowice</t>
  </si>
  <si>
    <t>Radzikowice</t>
  </si>
  <si>
    <t>Rusocin</t>
  </si>
  <si>
    <t>Goświnowice</t>
  </si>
  <si>
    <t>Wierzbięcice</t>
  </si>
  <si>
    <t xml:space="preserve">Nysa </t>
  </si>
  <si>
    <t xml:space="preserve">Biała Nyska </t>
  </si>
  <si>
    <t>Hajduki Nyskie</t>
  </si>
  <si>
    <t xml:space="preserve">Konradowa </t>
  </si>
  <si>
    <t xml:space="preserve">Lipowa </t>
  </si>
  <si>
    <t>Niwnica</t>
  </si>
  <si>
    <t>Przełęk</t>
  </si>
  <si>
    <t>Wyszków Śląski</t>
  </si>
  <si>
    <t>Nysa Suma</t>
  </si>
  <si>
    <t>16.</t>
  </si>
  <si>
    <t>Otmuchów</t>
  </si>
  <si>
    <t>Broniszowice</t>
  </si>
  <si>
    <t>Buków</t>
  </si>
  <si>
    <t>Kałków</t>
  </si>
  <si>
    <t xml:space="preserve">Grądy </t>
  </si>
  <si>
    <t>Lubiatów</t>
  </si>
  <si>
    <t>Otmuchów Suma</t>
  </si>
  <si>
    <t>17.</t>
  </si>
  <si>
    <t>Paczków</t>
  </si>
  <si>
    <t>Kamienica</t>
  </si>
  <si>
    <t>Stary Paczków</t>
  </si>
  <si>
    <t>Trzeboszowice</t>
  </si>
  <si>
    <t>Paczków Suma</t>
  </si>
  <si>
    <t>18.</t>
  </si>
  <si>
    <t>Prudnik</t>
  </si>
  <si>
    <t>Czyżowice</t>
  </si>
  <si>
    <t>Łąka Prudnicka</t>
  </si>
  <si>
    <t>Niemysłowice</t>
  </si>
  <si>
    <t>Rudziczka</t>
  </si>
  <si>
    <t>Szybowice</t>
  </si>
  <si>
    <t>Prudnik Suma</t>
  </si>
  <si>
    <t>19.</t>
  </si>
  <si>
    <t>Skoroszyce</t>
  </si>
  <si>
    <t>Skoroszyce Suma</t>
  </si>
  <si>
    <t>20.</t>
  </si>
  <si>
    <t>Strzeleczki</t>
  </si>
  <si>
    <t>Komorniki</t>
  </si>
  <si>
    <t>Łowkowice</t>
  </si>
  <si>
    <t>Strzeleczki Suma</t>
  </si>
  <si>
    <t>Suma końcowa</t>
  </si>
  <si>
    <t>Dzierżysławice</t>
  </si>
  <si>
    <t>Głogowiec</t>
  </si>
  <si>
    <t xml:space="preserve">Kierpień </t>
  </si>
  <si>
    <t>Leśnik</t>
  </si>
  <si>
    <t xml:space="preserve">Chomiąża </t>
  </si>
  <si>
    <t>Opawica</t>
  </si>
  <si>
    <t xml:space="preserve">Bodzanów </t>
  </si>
  <si>
    <t>Burgrabice</t>
  </si>
  <si>
    <t xml:space="preserve">Gierałcice </t>
  </si>
  <si>
    <t xml:space="preserve">Markowice </t>
  </si>
  <si>
    <t>Nowy Las</t>
  </si>
  <si>
    <t>Nowy Świętów</t>
  </si>
  <si>
    <t>Podlesie</t>
  </si>
  <si>
    <t>Pokrzywna</t>
  </si>
  <si>
    <t>Gryżów</t>
  </si>
  <si>
    <t xml:space="preserve">Rynarcice </t>
  </si>
  <si>
    <t xml:space="preserve">Ścinawa Nyska </t>
  </si>
  <si>
    <t xml:space="preserve">Prężynka </t>
  </si>
  <si>
    <t>Trzebina</t>
  </si>
  <si>
    <t>Drogoszów</t>
  </si>
  <si>
    <t xml:space="preserve">Mańkowice </t>
  </si>
  <si>
    <t>Domaszkowice</t>
  </si>
  <si>
    <t xml:space="preserve">Hajduki Nyskie </t>
  </si>
  <si>
    <t>Iława</t>
  </si>
  <si>
    <t>Konradowa</t>
  </si>
  <si>
    <t>Lipowa</t>
  </si>
  <si>
    <t xml:space="preserve">Przełęk </t>
  </si>
  <si>
    <t>Siestrzechowice</t>
  </si>
  <si>
    <t xml:space="preserve">Broniszowice </t>
  </si>
  <si>
    <t>Grądy</t>
  </si>
  <si>
    <t>Nadziejów</t>
  </si>
  <si>
    <t xml:space="preserve">Otmuchów </t>
  </si>
  <si>
    <t>Piotrowice Nyskie</t>
  </si>
  <si>
    <t>Zwierzyniec</t>
  </si>
  <si>
    <t xml:space="preserve">Dziewiętlice </t>
  </si>
  <si>
    <t>Gościce</t>
  </si>
  <si>
    <t xml:space="preserve">Kamienica </t>
  </si>
  <si>
    <t xml:space="preserve">Paczków </t>
  </si>
  <si>
    <t xml:space="preserve">Trzeboszowice </t>
  </si>
  <si>
    <t>Mieszkowice</t>
  </si>
  <si>
    <t>Moszczanka</t>
  </si>
  <si>
    <t>Wierzbiec</t>
  </si>
  <si>
    <t>Makowice</t>
  </si>
  <si>
    <t>Kwota przekazana</t>
  </si>
  <si>
    <t>Łącznik</t>
  </si>
  <si>
    <t>Bierawa, Lubieszów</t>
  </si>
  <si>
    <t>Stare Koźle</t>
  </si>
  <si>
    <t>Wiechowice, Dzierżkowice</t>
  </si>
  <si>
    <t>Dąbrowa</t>
  </si>
  <si>
    <t>Żelazna</t>
  </si>
  <si>
    <t>Dąbrowa Suma</t>
  </si>
  <si>
    <t>Dzierżysławice, Głogowiec, Leśnik, Mochów</t>
  </si>
  <si>
    <t>Chomiąża, Krasne Pole, Lenarcice, Opawica</t>
  </si>
  <si>
    <t>Zawiszyce</t>
  </si>
  <si>
    <t>Bodzanów, Nowy Świętów, Wilamowice Nyskie</t>
  </si>
  <si>
    <t>Głuchołazy, Charbielin, Sławniowice</t>
  </si>
  <si>
    <t>Jarnołtówek</t>
  </si>
  <si>
    <t>Polski Świętów, Markowice, Sucha Kamienica</t>
  </si>
  <si>
    <t>Kopice, Więcmierzyce</t>
  </si>
  <si>
    <t>Ścinawa Mała, Ścinawa Nyska</t>
  </si>
  <si>
    <t>Pietna, Żywocice</t>
  </si>
  <si>
    <t>Skorogoszcz, Wronów</t>
  </si>
  <si>
    <t>Drogoszów, Mańkowice, Piątkowice</t>
  </si>
  <si>
    <t>Gracze</t>
  </si>
  <si>
    <t>Biała Nyska, Przełęk</t>
  </si>
  <si>
    <t>Niwnica, Wyszków Śląski</t>
  </si>
  <si>
    <t>Nysa, Konradowa</t>
  </si>
  <si>
    <t>Broniszowice, Buków, Kałków</t>
  </si>
  <si>
    <t>Dziewiętlice</t>
  </si>
  <si>
    <t>Pakosławice</t>
  </si>
  <si>
    <t>Prusinowice</t>
  </si>
  <si>
    <t>Pakosławice Suma</t>
  </si>
  <si>
    <t>Niemysłowice, Czyżowice</t>
  </si>
  <si>
    <t>21.</t>
  </si>
  <si>
    <t>Komorniki, Łowkowice</t>
  </si>
  <si>
    <t xml:space="preserve">Kwota </t>
  </si>
  <si>
    <t>Kwota przyznana</t>
  </si>
  <si>
    <t>Kwota</t>
  </si>
  <si>
    <t>Miejscowość - obiekt</t>
  </si>
  <si>
    <t>Chomiąża (kościół św. Jana Chrzciciela)</t>
  </si>
  <si>
    <t>Bodzanów (Dom Zakonny Misjonarzy Oblatów Maryi Niepokalanej)</t>
  </si>
  <si>
    <t>Głuchołazy (Instytut Dydaktyczno-Naukowy im. Vincenta Prissnitza)</t>
  </si>
  <si>
    <t>Głuchołazy (Pensjonat ogrodowy przy Instytucie)</t>
  </si>
  <si>
    <t>Nowy Świętów (plebania, kaplica przepogrzebowa i kościół)</t>
  </si>
  <si>
    <t>Nysa (Dom Formacyjny Caritas Diecezji Opolskiej)</t>
  </si>
  <si>
    <t>Nysa (Diecezjalna Szkoła Podstawowa oraz Liceum Humanistyczne)</t>
  </si>
  <si>
    <t>Nysa (kościół filialny w Konradowej)</t>
  </si>
  <si>
    <t>Kałków (kaplica w Broniszowicach)</t>
  </si>
  <si>
    <t>Głębocko</t>
  </si>
  <si>
    <t>Liczba dzieci</t>
  </si>
  <si>
    <t>Wartość dofinansowania</t>
  </si>
  <si>
    <t>Podkamień</t>
  </si>
  <si>
    <t>Pomoc finansowa przekazana powodzianom w postaci 1352  kart przedpłaconych o wartości 6 tys. złotych każda. (Wartość kart 8.112.000 zł.)</t>
  </si>
  <si>
    <t>Pomoc finansowa w postaci 1220 kart budowlanych do marketów Castorama                             o wartości 5 tys. złotych każda (wartość kart 6.100.000 zł.)</t>
  </si>
  <si>
    <t xml:space="preserve">Doraźna pomoc finansowa przekazana powodzianom przez komisje parafialne.                           (Wartość pomocy 7.235.000 zł.) </t>
  </si>
  <si>
    <t>Pomoc finansowa dla dzieci i młodzieży powodzian w ramach programu "Skrzydła" (Wartość pomocy 484.776,45 zł.)</t>
  </si>
  <si>
    <t xml:space="preserve">Dofinansowanie wakacyjnych projektów dla dzieci i młodzieży z parafii dotkniętych powodzią. (Wartość pomocy 183.350 zł.)                                                     </t>
  </si>
  <si>
    <t>Pomoc finansowa  przekazana powodzianom z dedykowanych darowizn indywidualnych. (Wartość pomocy 364.230 zł.)</t>
  </si>
  <si>
    <t>Pomoc finansowa na usuwanie skutków powodzi w obiektach kościelnych.                        (Wartość pomocy 3.580.517,31 zł.)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</si>
</sst>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1"/>
      <color theme="1"/>
      <name val="Cambri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2"/>
      <charset val="238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name val="Cambria"/>
      <family val="1"/>
      <charset val="238"/>
    </font>
    <font>
      <sz val="11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11"/>
      <color rgb="FF000000"/>
      <name val="Calibri"/>
      <family val="2"/>
      <charset val="238"/>
    </font>
    <font>
      <b/>
      <sz val="14"/>
      <color theme="1"/>
      <name val="Cambria"/>
      <family val="1"/>
      <charset val="238"/>
    </font>
    <font>
      <sz val="11"/>
      <name val="Cambria"/>
      <family val="1"/>
      <charset val="238"/>
    </font>
    <font>
      <sz val="8"/>
      <name val="Cambria"/>
      <family val="2"/>
      <charset val="238"/>
    </font>
    <font>
      <b/>
      <sz val="12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44" fontId="5" fillId="0" borderId="0" xfId="1" applyFont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5" fillId="0" borderId="1" xfId="1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4" fontId="4" fillId="0" borderId="1" xfId="1" applyFont="1" applyBorder="1" applyAlignment="1">
      <alignment wrapText="1"/>
    </xf>
    <xf numFmtId="44" fontId="4" fillId="0" borderId="0" xfId="1" applyFont="1" applyAlignment="1">
      <alignment wrapText="1"/>
    </xf>
    <xf numFmtId="0" fontId="5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7" fillId="0" borderId="1" xfId="0" applyFont="1" applyBorder="1"/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/>
    <xf numFmtId="0" fontId="4" fillId="0" borderId="1" xfId="2" applyFont="1" applyBorder="1" applyAlignment="1">
      <alignment horizontal="center" wrapText="1"/>
    </xf>
    <xf numFmtId="0" fontId="5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wrapText="1"/>
    </xf>
    <xf numFmtId="44" fontId="6" fillId="0" borderId="1" xfId="3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wrapText="1"/>
    </xf>
    <xf numFmtId="0" fontId="7" fillId="2" borderId="1" xfId="2" applyFont="1" applyFill="1" applyBorder="1" applyAlignment="1">
      <alignment wrapText="1"/>
    </xf>
    <xf numFmtId="0" fontId="5" fillId="0" borderId="1" xfId="2" applyFont="1" applyBorder="1" applyAlignment="1">
      <alignment wrapText="1"/>
    </xf>
    <xf numFmtId="44" fontId="5" fillId="0" borderId="1" xfId="3" applyFont="1" applyBorder="1" applyAlignment="1">
      <alignment wrapText="1"/>
    </xf>
    <xf numFmtId="0" fontId="4" fillId="0" borderId="1" xfId="2" applyFont="1" applyBorder="1" applyAlignment="1">
      <alignment wrapText="1"/>
    </xf>
    <xf numFmtId="44" fontId="4" fillId="0" borderId="1" xfId="3" applyFont="1" applyBorder="1" applyAlignment="1">
      <alignment wrapText="1"/>
    </xf>
    <xf numFmtId="0" fontId="4" fillId="0" borderId="0" xfId="2" applyFont="1" applyAlignment="1">
      <alignment wrapText="1"/>
    </xf>
    <xf numFmtId="0" fontId="5" fillId="2" borderId="1" xfId="2" applyFont="1" applyFill="1" applyBorder="1" applyAlignment="1">
      <alignment wrapText="1"/>
    </xf>
    <xf numFmtId="0" fontId="2" fillId="0" borderId="0" xfId="2"/>
    <xf numFmtId="44" fontId="5" fillId="0" borderId="0" xfId="3" applyFont="1" applyAlignment="1">
      <alignment wrapText="1"/>
    </xf>
    <xf numFmtId="44" fontId="10" fillId="0" borderId="0" xfId="3" applyFont="1" applyAlignment="1">
      <alignment wrapText="1"/>
    </xf>
    <xf numFmtId="0" fontId="10" fillId="0" borderId="0" xfId="2" applyFont="1" applyAlignment="1">
      <alignment wrapText="1"/>
    </xf>
    <xf numFmtId="0" fontId="4" fillId="0" borderId="1" xfId="2" applyFont="1" applyBorder="1" applyAlignment="1">
      <alignment horizontal="center" vertical="center" wrapText="1"/>
    </xf>
    <xf numFmtId="44" fontId="4" fillId="0" borderId="1" xfId="3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wrapText="1"/>
    </xf>
    <xf numFmtId="44" fontId="4" fillId="0" borderId="0" xfId="3" applyFont="1" applyAlignment="1">
      <alignment wrapText="1"/>
    </xf>
    <xf numFmtId="44" fontId="11" fillId="0" borderId="1" xfId="3" applyFont="1" applyBorder="1" applyAlignment="1">
      <alignment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right" wrapText="1"/>
    </xf>
    <xf numFmtId="0" fontId="5" fillId="0" borderId="0" xfId="2" applyFont="1" applyAlignment="1">
      <alignment horizontal="center"/>
    </xf>
    <xf numFmtId="0" fontId="0" fillId="0" borderId="0" xfId="0" applyAlignment="1">
      <alignment wrapText="1"/>
    </xf>
    <xf numFmtId="44" fontId="3" fillId="0" borderId="0" xfId="1" applyFont="1" applyAlignment="1">
      <alignment wrapText="1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wrapText="1"/>
    </xf>
    <xf numFmtId="4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44" fontId="4" fillId="0" borderId="0" xfId="0" applyNumberFormat="1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7" fillId="2" borderId="5" xfId="0" applyFont="1" applyFill="1" applyBorder="1" applyAlignment="1">
      <alignment wrapText="1"/>
    </xf>
    <xf numFmtId="44" fontId="5" fillId="0" borderId="0" xfId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5" fillId="0" borderId="0" xfId="2" applyFont="1"/>
    <xf numFmtId="0" fontId="4" fillId="0" borderId="1" xfId="2" applyFont="1" applyBorder="1" applyAlignment="1">
      <alignment horizontal="center" vertical="center"/>
    </xf>
    <xf numFmtId="44" fontId="4" fillId="0" borderId="1" xfId="3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/>
    <xf numFmtId="44" fontId="5" fillId="0" borderId="1" xfId="3" applyFont="1" applyBorder="1"/>
    <xf numFmtId="0" fontId="4" fillId="0" borderId="1" xfId="2" applyFont="1" applyBorder="1"/>
    <xf numFmtId="44" fontId="4" fillId="0" borderId="1" xfId="3" applyFont="1" applyBorder="1"/>
    <xf numFmtId="0" fontId="4" fillId="0" borderId="0" xfId="2" applyFont="1"/>
    <xf numFmtId="44" fontId="5" fillId="0" borderId="0" xfId="3" applyFont="1"/>
    <xf numFmtId="0" fontId="5" fillId="0" borderId="0" xfId="4" applyFont="1" applyAlignment="1">
      <alignment wrapText="1"/>
    </xf>
    <xf numFmtId="0" fontId="13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wrapText="1"/>
    </xf>
    <xf numFmtId="164" fontId="5" fillId="0" borderId="1" xfId="4" applyNumberFormat="1" applyFont="1" applyBorder="1" applyAlignment="1">
      <alignment wrapText="1"/>
    </xf>
    <xf numFmtId="164" fontId="5" fillId="0" borderId="0" xfId="4" applyNumberFormat="1" applyFont="1" applyAlignment="1">
      <alignment wrapText="1"/>
    </xf>
    <xf numFmtId="0" fontId="4" fillId="0" borderId="1" xfId="4" applyFont="1" applyBorder="1" applyAlignment="1">
      <alignment wrapText="1"/>
    </xf>
    <xf numFmtId="0" fontId="5" fillId="0" borderId="2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164" fontId="4" fillId="0" borderId="1" xfId="4" applyNumberFormat="1" applyFont="1" applyBorder="1" applyAlignment="1">
      <alignment wrapText="1"/>
    </xf>
    <xf numFmtId="44" fontId="5" fillId="0" borderId="0" xfId="5" applyFont="1" applyAlignment="1">
      <alignment wrapText="1"/>
    </xf>
    <xf numFmtId="0" fontId="5" fillId="0" borderId="2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</cellXfs>
  <cellStyles count="6">
    <cellStyle name="Normalny" xfId="0" builtinId="0"/>
    <cellStyle name="Normalny 2" xfId="2" xr:uid="{DF2A2B7C-A856-461A-BC73-676F65216A77}"/>
    <cellStyle name="Normalny 3" xfId="4" xr:uid="{E9F7C9EB-963F-4E21-8704-8BE10832A6C5}"/>
    <cellStyle name="Walutowy" xfId="1" builtinId="4"/>
    <cellStyle name="Walutowy 2" xfId="3" xr:uid="{F3226236-4A5B-46BE-89ED-CA27436CBC74}"/>
    <cellStyle name="Walutowy 3" xfId="5" xr:uid="{414951E2-AF13-4E45-A514-9C88C5D472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056D1-8151-487F-B55D-48F06D6ED388}">
  <dimension ref="A1:G88"/>
  <sheetViews>
    <sheetView zoomScaleNormal="100" workbookViewId="0">
      <selection activeCell="B23" sqref="B23"/>
    </sheetView>
  </sheetViews>
  <sheetFormatPr defaultRowHeight="14.25" outlineLevelRow="2" x14ac:dyDescent="0.2"/>
  <cols>
    <col min="1" max="1" width="5.625" style="46" customWidth="1"/>
    <col min="2" max="2" width="21.25" style="25" customWidth="1"/>
    <col min="3" max="3" width="34" style="25" customWidth="1"/>
    <col min="4" max="4" width="19.875" style="38" customWidth="1"/>
    <col min="5" max="5" width="15.25" style="38" bestFit="1" customWidth="1"/>
    <col min="6" max="6" width="18.25" style="25" bestFit="1" customWidth="1"/>
    <col min="7" max="16384" width="9" style="25"/>
  </cols>
  <sheetData>
    <row r="1" spans="1:5" s="40" customFormat="1" ht="41.25" customHeight="1" x14ac:dyDescent="0.25">
      <c r="A1" s="91" t="s">
        <v>248</v>
      </c>
      <c r="B1" s="91"/>
      <c r="C1" s="91"/>
      <c r="D1" s="91"/>
      <c r="E1" s="39"/>
    </row>
    <row r="2" spans="1:5" s="40" customFormat="1" ht="32.25" customHeight="1" x14ac:dyDescent="0.25">
      <c r="A2" s="41" t="s">
        <v>0</v>
      </c>
      <c r="B2" s="41" t="s">
        <v>1</v>
      </c>
      <c r="C2" s="41" t="s">
        <v>2</v>
      </c>
      <c r="D2" s="42" t="s">
        <v>197</v>
      </c>
      <c r="E2" s="39"/>
    </row>
    <row r="3" spans="1:5" outlineLevel="2" x14ac:dyDescent="0.2">
      <c r="A3" s="43" t="s">
        <v>5</v>
      </c>
      <c r="B3" s="31" t="s">
        <v>6</v>
      </c>
      <c r="C3" s="31" t="s">
        <v>198</v>
      </c>
      <c r="D3" s="32">
        <v>36000</v>
      </c>
    </row>
    <row r="4" spans="1:5" s="35" customFormat="1" outlineLevel="1" x14ac:dyDescent="0.2">
      <c r="A4" s="24"/>
      <c r="B4" s="33" t="s">
        <v>8</v>
      </c>
      <c r="C4" s="33"/>
      <c r="D4" s="34">
        <f>SUBTOTAL(9,D3:D3)</f>
        <v>36000</v>
      </c>
      <c r="E4" s="44"/>
    </row>
    <row r="5" spans="1:5" outlineLevel="2" x14ac:dyDescent="0.2">
      <c r="A5" s="88" t="s">
        <v>9</v>
      </c>
      <c r="B5" s="31" t="s">
        <v>10</v>
      </c>
      <c r="C5" s="31" t="s">
        <v>199</v>
      </c>
      <c r="D5" s="32">
        <f>60000+3000</f>
        <v>63000</v>
      </c>
    </row>
    <row r="6" spans="1:5" outlineLevel="2" x14ac:dyDescent="0.2">
      <c r="A6" s="90"/>
      <c r="B6" s="31" t="s">
        <v>10</v>
      </c>
      <c r="C6" s="31" t="s">
        <v>200</v>
      </c>
      <c r="D6" s="32">
        <v>111000</v>
      </c>
    </row>
    <row r="7" spans="1:5" s="35" customFormat="1" outlineLevel="1" x14ac:dyDescent="0.2">
      <c r="A7" s="24"/>
      <c r="B7" s="33" t="s">
        <v>12</v>
      </c>
      <c r="C7" s="33"/>
      <c r="D7" s="34">
        <f>SUBTOTAL(9,D5:D6)</f>
        <v>174000</v>
      </c>
      <c r="E7" s="44"/>
    </row>
    <row r="8" spans="1:5" outlineLevel="2" x14ac:dyDescent="0.2">
      <c r="A8" s="88" t="s">
        <v>13</v>
      </c>
      <c r="B8" s="31" t="s">
        <v>14</v>
      </c>
      <c r="C8" s="31" t="s">
        <v>15</v>
      </c>
      <c r="D8" s="32">
        <v>72000</v>
      </c>
    </row>
    <row r="9" spans="1:5" outlineLevel="2" x14ac:dyDescent="0.2">
      <c r="A9" s="89"/>
      <c r="B9" s="31" t="s">
        <v>14</v>
      </c>
      <c r="C9" s="31" t="s">
        <v>14</v>
      </c>
      <c r="D9" s="32">
        <v>66000</v>
      </c>
    </row>
    <row r="10" spans="1:5" outlineLevel="2" x14ac:dyDescent="0.2">
      <c r="A10" s="90"/>
      <c r="B10" s="31" t="s">
        <v>14</v>
      </c>
      <c r="C10" s="31" t="s">
        <v>201</v>
      </c>
      <c r="D10" s="32">
        <f>48000+3000+6000</f>
        <v>57000</v>
      </c>
    </row>
    <row r="11" spans="1:5" s="35" customFormat="1" outlineLevel="1" x14ac:dyDescent="0.2">
      <c r="A11" s="24"/>
      <c r="B11" s="33" t="s">
        <v>19</v>
      </c>
      <c r="C11" s="33"/>
      <c r="D11" s="34">
        <f>SUBTOTAL(9,D8:D10)</f>
        <v>195000</v>
      </c>
      <c r="E11" s="44"/>
    </row>
    <row r="12" spans="1:5" outlineLevel="2" x14ac:dyDescent="0.2">
      <c r="A12" s="43" t="s">
        <v>20</v>
      </c>
      <c r="B12" s="31" t="s">
        <v>202</v>
      </c>
      <c r="C12" s="31" t="s">
        <v>203</v>
      </c>
      <c r="D12" s="32">
        <v>6000</v>
      </c>
    </row>
    <row r="13" spans="1:5" s="35" customFormat="1" outlineLevel="1" x14ac:dyDescent="0.2">
      <c r="A13" s="24"/>
      <c r="B13" s="33" t="s">
        <v>204</v>
      </c>
      <c r="C13" s="33"/>
      <c r="D13" s="34">
        <f>SUBTOTAL(9,D12:D12)</f>
        <v>6000</v>
      </c>
      <c r="E13" s="44"/>
    </row>
    <row r="14" spans="1:5" ht="28.5" outlineLevel="2" x14ac:dyDescent="0.2">
      <c r="A14" s="88" t="s">
        <v>30</v>
      </c>
      <c r="B14" s="31" t="s">
        <v>21</v>
      </c>
      <c r="C14" s="31" t="s">
        <v>205</v>
      </c>
      <c r="D14" s="32">
        <v>264000</v>
      </c>
    </row>
    <row r="15" spans="1:5" outlineLevel="2" x14ac:dyDescent="0.2">
      <c r="A15" s="89"/>
      <c r="B15" s="31" t="s">
        <v>21</v>
      </c>
      <c r="C15" s="31" t="s">
        <v>21</v>
      </c>
      <c r="D15" s="32">
        <v>60000</v>
      </c>
    </row>
    <row r="16" spans="1:5" outlineLevel="2" x14ac:dyDescent="0.2">
      <c r="A16" s="89"/>
      <c r="B16" s="31" t="s">
        <v>21</v>
      </c>
      <c r="C16" s="31" t="s">
        <v>25</v>
      </c>
      <c r="D16" s="32">
        <v>146000</v>
      </c>
    </row>
    <row r="17" spans="1:7" outlineLevel="2" x14ac:dyDescent="0.2">
      <c r="A17" s="90"/>
      <c r="B17" s="31" t="s">
        <v>21</v>
      </c>
      <c r="C17" s="31" t="s">
        <v>28</v>
      </c>
      <c r="D17" s="32">
        <v>66000</v>
      </c>
    </row>
    <row r="18" spans="1:7" s="35" customFormat="1" outlineLevel="1" x14ac:dyDescent="0.2">
      <c r="A18" s="24"/>
      <c r="B18" s="33" t="s">
        <v>29</v>
      </c>
      <c r="C18" s="33"/>
      <c r="D18" s="34">
        <f>SUBTOTAL(9,D14:D17)</f>
        <v>536000</v>
      </c>
      <c r="E18" s="44"/>
    </row>
    <row r="19" spans="1:7" ht="28.5" outlineLevel="2" x14ac:dyDescent="0.2">
      <c r="A19" s="88" t="s">
        <v>40</v>
      </c>
      <c r="B19" s="31" t="s">
        <v>31</v>
      </c>
      <c r="C19" s="31" t="s">
        <v>206</v>
      </c>
      <c r="D19" s="32">
        <f>201000-3000</f>
        <v>198000</v>
      </c>
    </row>
    <row r="20" spans="1:7" outlineLevel="2" x14ac:dyDescent="0.2">
      <c r="A20" s="89"/>
      <c r="B20" s="31" t="s">
        <v>31</v>
      </c>
      <c r="C20" s="31" t="s">
        <v>33</v>
      </c>
      <c r="D20" s="32">
        <v>39000</v>
      </c>
    </row>
    <row r="21" spans="1:7" s="38" customFormat="1" outlineLevel="2" x14ac:dyDescent="0.2">
      <c r="A21" s="89"/>
      <c r="B21" s="31" t="s">
        <v>31</v>
      </c>
      <c r="C21" s="31" t="s">
        <v>34</v>
      </c>
      <c r="D21" s="32">
        <v>15000</v>
      </c>
      <c r="F21" s="25"/>
      <c r="G21" s="25"/>
    </row>
    <row r="22" spans="1:7" s="38" customFormat="1" outlineLevel="2" x14ac:dyDescent="0.2">
      <c r="A22" s="90"/>
      <c r="B22" s="31" t="s">
        <v>31</v>
      </c>
      <c r="C22" s="31" t="s">
        <v>207</v>
      </c>
      <c r="D22" s="32">
        <v>3000</v>
      </c>
      <c r="F22" s="25"/>
      <c r="G22" s="25"/>
    </row>
    <row r="23" spans="1:7" s="44" customFormat="1" outlineLevel="1" x14ac:dyDescent="0.2">
      <c r="A23" s="24"/>
      <c r="B23" s="33" t="s">
        <v>39</v>
      </c>
      <c r="C23" s="33"/>
      <c r="D23" s="34">
        <f>SUBTOTAL(9,D19:D22)</f>
        <v>255000</v>
      </c>
      <c r="F23" s="35"/>
      <c r="G23" s="35"/>
    </row>
    <row r="24" spans="1:7" s="38" customFormat="1" outlineLevel="2" x14ac:dyDescent="0.2">
      <c r="A24" s="88" t="s">
        <v>59</v>
      </c>
      <c r="B24" s="31" t="s">
        <v>41</v>
      </c>
      <c r="C24" s="31" t="s">
        <v>42</v>
      </c>
      <c r="D24" s="32">
        <v>30000</v>
      </c>
      <c r="F24" s="25"/>
      <c r="G24" s="25"/>
    </row>
    <row r="25" spans="1:7" s="38" customFormat="1" outlineLevel="2" x14ac:dyDescent="0.2">
      <c r="A25" s="89"/>
      <c r="B25" s="31" t="s">
        <v>41</v>
      </c>
      <c r="C25" s="31" t="s">
        <v>43</v>
      </c>
      <c r="D25" s="32">
        <f>534000+57000+3000</f>
        <v>594000</v>
      </c>
      <c r="F25" s="25"/>
      <c r="G25" s="25"/>
    </row>
    <row r="26" spans="1:7" s="38" customFormat="1" ht="28.5" outlineLevel="2" x14ac:dyDescent="0.2">
      <c r="A26" s="89"/>
      <c r="B26" s="31" t="s">
        <v>41</v>
      </c>
      <c r="C26" s="31" t="s">
        <v>208</v>
      </c>
      <c r="D26" s="45">
        <f>357000+84000+15000</f>
        <v>456000</v>
      </c>
      <c r="F26" s="25"/>
      <c r="G26" s="25"/>
    </row>
    <row r="27" spans="1:7" s="38" customFormat="1" outlineLevel="2" x14ac:dyDescent="0.2">
      <c r="A27" s="89"/>
      <c r="B27" s="31" t="s">
        <v>41</v>
      </c>
      <c r="C27" s="31" t="s">
        <v>161</v>
      </c>
      <c r="D27" s="32">
        <v>18000</v>
      </c>
      <c r="F27" s="25"/>
      <c r="G27" s="25"/>
    </row>
    <row r="28" spans="1:7" s="38" customFormat="1" outlineLevel="2" x14ac:dyDescent="0.2">
      <c r="A28" s="89"/>
      <c r="B28" s="31" t="s">
        <v>41</v>
      </c>
      <c r="C28" s="31" t="s">
        <v>209</v>
      </c>
      <c r="D28" s="32">
        <f>1116000+27000</f>
        <v>1143000</v>
      </c>
      <c r="F28" s="25"/>
      <c r="G28" s="25"/>
    </row>
    <row r="29" spans="1:7" s="38" customFormat="1" outlineLevel="2" x14ac:dyDescent="0.2">
      <c r="A29" s="89"/>
      <c r="B29" s="31" t="s">
        <v>41</v>
      </c>
      <c r="C29" s="31" t="s">
        <v>210</v>
      </c>
      <c r="D29" s="32">
        <f>30000+3000</f>
        <v>33000</v>
      </c>
      <c r="F29" s="25"/>
      <c r="G29" s="25"/>
    </row>
    <row r="30" spans="1:7" s="38" customFormat="1" ht="28.5" outlineLevel="2" x14ac:dyDescent="0.2">
      <c r="A30" s="89"/>
      <c r="B30" s="31" t="s">
        <v>41</v>
      </c>
      <c r="C30" s="31" t="s">
        <v>211</v>
      </c>
      <c r="D30" s="32">
        <f>234000+3000</f>
        <v>237000</v>
      </c>
      <c r="F30" s="25"/>
      <c r="G30" s="25"/>
    </row>
    <row r="31" spans="1:7" s="38" customFormat="1" outlineLevel="2" x14ac:dyDescent="0.2">
      <c r="A31" s="90"/>
      <c r="B31" s="31" t="s">
        <v>41</v>
      </c>
      <c r="C31" s="31" t="s">
        <v>53</v>
      </c>
      <c r="D31" s="32">
        <v>39000</v>
      </c>
      <c r="F31" s="25"/>
      <c r="G31" s="25"/>
    </row>
    <row r="32" spans="1:7" s="44" customFormat="1" outlineLevel="1" x14ac:dyDescent="0.2">
      <c r="A32" s="24"/>
      <c r="B32" s="33" t="s">
        <v>58</v>
      </c>
      <c r="C32" s="33"/>
      <c r="D32" s="34">
        <f>SUBTOTAL(9,D24:D31)</f>
        <v>2550000</v>
      </c>
      <c r="F32" s="35"/>
      <c r="G32" s="35"/>
    </row>
    <row r="33" spans="1:7" s="38" customFormat="1" outlineLevel="2" x14ac:dyDescent="0.2">
      <c r="A33" s="88" t="s">
        <v>64</v>
      </c>
      <c r="B33" s="31" t="s">
        <v>60</v>
      </c>
      <c r="C33" s="31" t="s">
        <v>212</v>
      </c>
      <c r="D33" s="32">
        <v>87000</v>
      </c>
      <c r="F33" s="25"/>
      <c r="G33" s="25"/>
    </row>
    <row r="34" spans="1:7" s="38" customFormat="1" outlineLevel="2" x14ac:dyDescent="0.2">
      <c r="A34" s="90"/>
      <c r="B34" s="31" t="s">
        <v>60</v>
      </c>
      <c r="C34" s="31" t="s">
        <v>203</v>
      </c>
      <c r="D34" s="32">
        <v>111000</v>
      </c>
      <c r="F34" s="25"/>
      <c r="G34" s="25"/>
    </row>
    <row r="35" spans="1:7" s="44" customFormat="1" outlineLevel="1" x14ac:dyDescent="0.2">
      <c r="A35" s="24"/>
      <c r="B35" s="33" t="s">
        <v>63</v>
      </c>
      <c r="C35" s="33"/>
      <c r="D35" s="34">
        <f>SUBTOTAL(9,D33:D34)</f>
        <v>198000</v>
      </c>
      <c r="F35" s="35"/>
      <c r="G35" s="35"/>
    </row>
    <row r="36" spans="1:7" s="38" customFormat="1" outlineLevel="2" x14ac:dyDescent="0.2">
      <c r="A36" s="88" t="s">
        <v>72</v>
      </c>
      <c r="B36" s="31" t="s">
        <v>65</v>
      </c>
      <c r="C36" s="31" t="s">
        <v>213</v>
      </c>
      <c r="D36" s="32">
        <f>78000+6000</f>
        <v>84000</v>
      </c>
      <c r="F36" s="25"/>
      <c r="G36" s="25"/>
    </row>
    <row r="37" spans="1:7" s="38" customFormat="1" outlineLevel="2" x14ac:dyDescent="0.2">
      <c r="A37" s="89"/>
      <c r="B37" s="31" t="s">
        <v>65</v>
      </c>
      <c r="C37" s="31" t="s">
        <v>68</v>
      </c>
      <c r="D37" s="32">
        <v>51000</v>
      </c>
      <c r="F37" s="25"/>
      <c r="G37" s="25"/>
    </row>
    <row r="38" spans="1:7" s="38" customFormat="1" outlineLevel="2" x14ac:dyDescent="0.2">
      <c r="A38" s="90"/>
      <c r="B38" s="31" t="s">
        <v>65</v>
      </c>
      <c r="C38" s="31" t="s">
        <v>69</v>
      </c>
      <c r="D38" s="32">
        <v>6000</v>
      </c>
      <c r="F38" s="25"/>
      <c r="G38" s="25"/>
    </row>
    <row r="39" spans="1:7" s="44" customFormat="1" outlineLevel="1" x14ac:dyDescent="0.2">
      <c r="A39" s="24"/>
      <c r="B39" s="33" t="s">
        <v>71</v>
      </c>
      <c r="C39" s="33"/>
      <c r="D39" s="34">
        <f>SUBTOTAL(9,D36:D38)</f>
        <v>141000</v>
      </c>
      <c r="F39" s="35"/>
      <c r="G39" s="35"/>
    </row>
    <row r="40" spans="1:7" s="38" customFormat="1" outlineLevel="2" x14ac:dyDescent="0.2">
      <c r="A40" s="43" t="s">
        <v>78</v>
      </c>
      <c r="B40" s="31" t="s">
        <v>73</v>
      </c>
      <c r="C40" s="31" t="s">
        <v>214</v>
      </c>
      <c r="D40" s="32">
        <f>30000+33000+12000+6000+18000</f>
        <v>99000</v>
      </c>
      <c r="F40" s="25"/>
      <c r="G40" s="25"/>
    </row>
    <row r="41" spans="1:7" s="44" customFormat="1" outlineLevel="1" x14ac:dyDescent="0.2">
      <c r="A41" s="24"/>
      <c r="B41" s="33" t="s">
        <v>77</v>
      </c>
      <c r="C41" s="33"/>
      <c r="D41" s="34">
        <f>SUBTOTAL(9,D40:D40)</f>
        <v>99000</v>
      </c>
      <c r="F41" s="35"/>
      <c r="G41" s="35"/>
    </row>
    <row r="42" spans="1:7" s="38" customFormat="1" outlineLevel="2" x14ac:dyDescent="0.2">
      <c r="A42" s="43" t="s">
        <v>82</v>
      </c>
      <c r="B42" s="31" t="s">
        <v>79</v>
      </c>
      <c r="C42" s="31" t="s">
        <v>79</v>
      </c>
      <c r="D42" s="32">
        <f>243000+15000</f>
        <v>258000</v>
      </c>
      <c r="F42" s="25"/>
      <c r="G42" s="25"/>
    </row>
    <row r="43" spans="1:7" s="44" customFormat="1" outlineLevel="1" x14ac:dyDescent="0.2">
      <c r="A43" s="24"/>
      <c r="B43" s="33" t="s">
        <v>81</v>
      </c>
      <c r="C43" s="33"/>
      <c r="D43" s="34">
        <f>SUBTOTAL(9,D42:D42)</f>
        <v>258000</v>
      </c>
      <c r="F43" s="35"/>
      <c r="G43" s="35"/>
    </row>
    <row r="44" spans="1:7" s="38" customFormat="1" outlineLevel="2" x14ac:dyDescent="0.2">
      <c r="A44" s="43" t="s">
        <v>87</v>
      </c>
      <c r="B44" s="31" t="s">
        <v>83</v>
      </c>
      <c r="C44" s="31" t="s">
        <v>215</v>
      </c>
      <c r="D44" s="32">
        <f>168000+6000</f>
        <v>174000</v>
      </c>
      <c r="F44" s="25"/>
      <c r="G44" s="25"/>
    </row>
    <row r="45" spans="1:7" s="44" customFormat="1" outlineLevel="1" x14ac:dyDescent="0.2">
      <c r="A45" s="24"/>
      <c r="B45" s="33" t="s">
        <v>86</v>
      </c>
      <c r="C45" s="33"/>
      <c r="D45" s="34">
        <f>SUBTOTAL(9,D44:D44)</f>
        <v>174000</v>
      </c>
      <c r="F45" s="35"/>
      <c r="G45" s="35"/>
    </row>
    <row r="46" spans="1:7" s="38" customFormat="1" outlineLevel="2" x14ac:dyDescent="0.2">
      <c r="A46" s="88" t="s">
        <v>93</v>
      </c>
      <c r="B46" s="31" t="s">
        <v>88</v>
      </c>
      <c r="C46" s="31" t="s">
        <v>89</v>
      </c>
      <c r="D46" s="32">
        <f>39000+3000+6000</f>
        <v>48000</v>
      </c>
      <c r="F46" s="25"/>
      <c r="G46" s="25"/>
    </row>
    <row r="47" spans="1:7" s="38" customFormat="1" outlineLevel="2" x14ac:dyDescent="0.2">
      <c r="A47" s="89"/>
      <c r="B47" s="31" t="s">
        <v>88</v>
      </c>
      <c r="C47" s="31" t="s">
        <v>88</v>
      </c>
      <c r="D47" s="32">
        <f>9000+6000</f>
        <v>15000</v>
      </c>
      <c r="F47" s="25"/>
      <c r="G47" s="25"/>
    </row>
    <row r="48" spans="1:7" s="38" customFormat="1" outlineLevel="2" x14ac:dyDescent="0.2">
      <c r="A48" s="90"/>
      <c r="B48" s="31" t="s">
        <v>88</v>
      </c>
      <c r="C48" s="31" t="s">
        <v>172</v>
      </c>
      <c r="D48" s="32">
        <f>78000+3000+3000</f>
        <v>84000</v>
      </c>
      <c r="F48" s="25"/>
      <c r="G48" s="25"/>
    </row>
    <row r="49" spans="1:7" s="44" customFormat="1" outlineLevel="1" x14ac:dyDescent="0.2">
      <c r="A49" s="24"/>
      <c r="B49" s="33" t="s">
        <v>92</v>
      </c>
      <c r="C49" s="33"/>
      <c r="D49" s="34">
        <f>SUBTOTAL(9,D46:D48)</f>
        <v>147000</v>
      </c>
      <c r="F49" s="35"/>
      <c r="G49" s="35"/>
    </row>
    <row r="50" spans="1:7" s="38" customFormat="1" outlineLevel="2" x14ac:dyDescent="0.2">
      <c r="A50" s="43" t="s">
        <v>99</v>
      </c>
      <c r="B50" s="31" t="s">
        <v>94</v>
      </c>
      <c r="C50" s="31" t="s">
        <v>216</v>
      </c>
      <c r="D50" s="32">
        <v>153000</v>
      </c>
      <c r="F50" s="25"/>
      <c r="G50" s="25"/>
    </row>
    <row r="51" spans="1:7" s="44" customFormat="1" outlineLevel="1" x14ac:dyDescent="0.2">
      <c r="A51" s="24"/>
      <c r="B51" s="33" t="s">
        <v>98</v>
      </c>
      <c r="C51" s="33"/>
      <c r="D51" s="34">
        <f>SUBTOTAL(9,D50:D50)</f>
        <v>153000</v>
      </c>
      <c r="F51" s="35"/>
      <c r="G51" s="35"/>
    </row>
    <row r="52" spans="1:7" s="38" customFormat="1" outlineLevel="2" x14ac:dyDescent="0.2">
      <c r="A52" s="43" t="s">
        <v>103</v>
      </c>
      <c r="B52" s="31" t="s">
        <v>100</v>
      </c>
      <c r="C52" s="31" t="s">
        <v>217</v>
      </c>
      <c r="D52" s="32">
        <v>12000</v>
      </c>
      <c r="F52" s="25"/>
      <c r="G52" s="25"/>
    </row>
    <row r="53" spans="1:7" s="44" customFormat="1" outlineLevel="1" x14ac:dyDescent="0.2">
      <c r="A53" s="24"/>
      <c r="B53" s="33" t="s">
        <v>102</v>
      </c>
      <c r="C53" s="33"/>
      <c r="D53" s="34">
        <f>SUBTOTAL(9,D52:D52)</f>
        <v>12000</v>
      </c>
      <c r="F53" s="35"/>
      <c r="G53" s="35"/>
    </row>
    <row r="54" spans="1:7" s="38" customFormat="1" outlineLevel="2" x14ac:dyDescent="0.2">
      <c r="A54" s="88" t="s">
        <v>123</v>
      </c>
      <c r="B54" s="31" t="s">
        <v>104</v>
      </c>
      <c r="C54" s="31" t="s">
        <v>218</v>
      </c>
      <c r="D54" s="32">
        <f>579000+66000</f>
        <v>645000</v>
      </c>
      <c r="F54" s="25"/>
      <c r="G54" s="25"/>
    </row>
    <row r="55" spans="1:7" s="38" customFormat="1" outlineLevel="2" x14ac:dyDescent="0.2">
      <c r="A55" s="89"/>
      <c r="B55" s="31" t="s">
        <v>104</v>
      </c>
      <c r="C55" s="31" t="s">
        <v>116</v>
      </c>
      <c r="D55" s="32">
        <v>144000</v>
      </c>
      <c r="F55" s="25"/>
      <c r="G55" s="25"/>
    </row>
    <row r="56" spans="1:7" s="38" customFormat="1" outlineLevel="2" x14ac:dyDescent="0.2">
      <c r="A56" s="89"/>
      <c r="B56" s="31" t="s">
        <v>104</v>
      </c>
      <c r="C56" s="31" t="s">
        <v>106</v>
      </c>
      <c r="D56" s="32">
        <v>63000</v>
      </c>
      <c r="F56" s="25"/>
      <c r="G56" s="25"/>
    </row>
    <row r="57" spans="1:7" s="38" customFormat="1" outlineLevel="2" x14ac:dyDescent="0.2">
      <c r="A57" s="89"/>
      <c r="B57" s="31" t="s">
        <v>104</v>
      </c>
      <c r="C57" s="31" t="s">
        <v>179</v>
      </c>
      <c r="D57" s="32">
        <v>48000</v>
      </c>
      <c r="F57" s="25"/>
      <c r="G57" s="25"/>
    </row>
    <row r="58" spans="1:7" s="38" customFormat="1" outlineLevel="2" x14ac:dyDescent="0.2">
      <c r="A58" s="89"/>
      <c r="B58" s="31" t="s">
        <v>104</v>
      </c>
      <c r="C58" s="31" t="s">
        <v>219</v>
      </c>
      <c r="D58" s="32">
        <v>84000</v>
      </c>
      <c r="F58" s="25"/>
      <c r="G58" s="25"/>
    </row>
    <row r="59" spans="1:7" s="38" customFormat="1" outlineLevel="2" x14ac:dyDescent="0.2">
      <c r="A59" s="89"/>
      <c r="B59" s="31" t="s">
        <v>104</v>
      </c>
      <c r="C59" s="31" t="s">
        <v>104</v>
      </c>
      <c r="D59" s="32">
        <v>36000</v>
      </c>
      <c r="F59" s="25"/>
      <c r="G59" s="25"/>
    </row>
    <row r="60" spans="1:7" s="38" customFormat="1" outlineLevel="2" x14ac:dyDescent="0.2">
      <c r="A60" s="89"/>
      <c r="B60" s="31" t="s">
        <v>104</v>
      </c>
      <c r="C60" s="31" t="s">
        <v>104</v>
      </c>
      <c r="D60" s="32">
        <v>6000</v>
      </c>
      <c r="F60" s="25"/>
      <c r="G60" s="25"/>
    </row>
    <row r="61" spans="1:7" s="38" customFormat="1" outlineLevel="2" x14ac:dyDescent="0.2">
      <c r="A61" s="89"/>
      <c r="B61" s="31" t="s">
        <v>104</v>
      </c>
      <c r="C61" s="31" t="s">
        <v>104</v>
      </c>
      <c r="D61" s="32">
        <v>78000</v>
      </c>
      <c r="F61" s="25"/>
      <c r="G61" s="25"/>
    </row>
    <row r="62" spans="1:7" s="38" customFormat="1" outlineLevel="2" x14ac:dyDescent="0.2">
      <c r="A62" s="89"/>
      <c r="B62" s="31" t="s">
        <v>104</v>
      </c>
      <c r="C62" s="31" t="s">
        <v>220</v>
      </c>
      <c r="D62" s="32">
        <f>150000+3000+18000</f>
        <v>171000</v>
      </c>
      <c r="F62" s="25"/>
      <c r="G62" s="25"/>
    </row>
    <row r="63" spans="1:7" s="38" customFormat="1" outlineLevel="2" x14ac:dyDescent="0.2">
      <c r="A63" s="90"/>
      <c r="B63" s="31" t="s">
        <v>104</v>
      </c>
      <c r="C63" s="31" t="s">
        <v>110</v>
      </c>
      <c r="D63" s="32">
        <v>27000</v>
      </c>
      <c r="F63" s="25"/>
      <c r="G63" s="25"/>
    </row>
    <row r="64" spans="1:7" s="44" customFormat="1" outlineLevel="1" x14ac:dyDescent="0.2">
      <c r="A64" s="24"/>
      <c r="B64" s="33" t="s">
        <v>122</v>
      </c>
      <c r="C64" s="33"/>
      <c r="D64" s="34">
        <f>SUBTOTAL(9,D54:D63)</f>
        <v>1302000</v>
      </c>
      <c r="F64" s="35"/>
      <c r="G64" s="35"/>
    </row>
    <row r="65" spans="1:7" s="38" customFormat="1" outlineLevel="2" x14ac:dyDescent="0.2">
      <c r="A65" s="88" t="s">
        <v>131</v>
      </c>
      <c r="B65" s="31" t="s">
        <v>124</v>
      </c>
      <c r="C65" s="31" t="s">
        <v>221</v>
      </c>
      <c r="D65" s="32">
        <f>51000+6000</f>
        <v>57000</v>
      </c>
      <c r="F65" s="25"/>
      <c r="G65" s="25"/>
    </row>
    <row r="66" spans="1:7" s="38" customFormat="1" outlineLevel="2" x14ac:dyDescent="0.2">
      <c r="A66" s="90"/>
      <c r="B66" s="31" t="s">
        <v>124</v>
      </c>
      <c r="C66" s="31" t="s">
        <v>124</v>
      </c>
      <c r="D66" s="32">
        <v>45000</v>
      </c>
      <c r="F66" s="25"/>
      <c r="G66" s="25"/>
    </row>
    <row r="67" spans="1:7" s="44" customFormat="1" outlineLevel="1" x14ac:dyDescent="0.2">
      <c r="A67" s="24"/>
      <c r="B67" s="33" t="s">
        <v>130</v>
      </c>
      <c r="C67" s="33"/>
      <c r="D67" s="34">
        <f>SUBTOTAL(9,D65:D66)</f>
        <v>102000</v>
      </c>
      <c r="F67" s="35"/>
      <c r="G67" s="35"/>
    </row>
    <row r="68" spans="1:7" s="38" customFormat="1" outlineLevel="2" x14ac:dyDescent="0.2">
      <c r="A68" s="88" t="s">
        <v>137</v>
      </c>
      <c r="B68" s="31" t="s">
        <v>132</v>
      </c>
      <c r="C68" s="31" t="s">
        <v>222</v>
      </c>
      <c r="D68" s="32">
        <v>66000</v>
      </c>
      <c r="F68" s="25"/>
      <c r="G68" s="25"/>
    </row>
    <row r="69" spans="1:7" s="38" customFormat="1" outlineLevel="2" x14ac:dyDescent="0.2">
      <c r="A69" s="89"/>
      <c r="B69" s="31" t="s">
        <v>132</v>
      </c>
      <c r="C69" s="31" t="s">
        <v>133</v>
      </c>
      <c r="D69" s="32">
        <v>24000</v>
      </c>
      <c r="F69" s="25"/>
      <c r="G69" s="25"/>
    </row>
    <row r="70" spans="1:7" s="38" customFormat="1" outlineLevel="2" x14ac:dyDescent="0.2">
      <c r="A70" s="89"/>
      <c r="B70" s="31" t="s">
        <v>132</v>
      </c>
      <c r="C70" s="31" t="s">
        <v>132</v>
      </c>
      <c r="D70" s="32">
        <v>198000</v>
      </c>
      <c r="F70" s="25"/>
      <c r="G70" s="25"/>
    </row>
    <row r="71" spans="1:7" s="38" customFormat="1" outlineLevel="2" x14ac:dyDescent="0.2">
      <c r="A71" s="89"/>
      <c r="B71" s="31" t="s">
        <v>132</v>
      </c>
      <c r="C71" s="31" t="s">
        <v>134</v>
      </c>
      <c r="D71" s="32">
        <v>15000</v>
      </c>
      <c r="F71" s="25"/>
      <c r="G71" s="25"/>
    </row>
    <row r="72" spans="1:7" s="38" customFormat="1" outlineLevel="2" x14ac:dyDescent="0.2">
      <c r="A72" s="90"/>
      <c r="B72" s="31" t="s">
        <v>132</v>
      </c>
      <c r="C72" s="31" t="s">
        <v>135</v>
      </c>
      <c r="D72" s="32">
        <v>63000</v>
      </c>
      <c r="F72" s="25"/>
      <c r="G72" s="25"/>
    </row>
    <row r="73" spans="1:7" s="44" customFormat="1" outlineLevel="1" x14ac:dyDescent="0.2">
      <c r="A73" s="24"/>
      <c r="B73" s="33" t="s">
        <v>136</v>
      </c>
      <c r="C73" s="33"/>
      <c r="D73" s="34">
        <f>SUBTOTAL(9,D68:D72)</f>
        <v>366000</v>
      </c>
      <c r="F73" s="35"/>
      <c r="G73" s="35"/>
    </row>
    <row r="74" spans="1:7" s="38" customFormat="1" outlineLevel="2" x14ac:dyDescent="0.2">
      <c r="A74" s="43" t="s">
        <v>145</v>
      </c>
      <c r="B74" s="31" t="s">
        <v>223</v>
      </c>
      <c r="C74" s="31" t="s">
        <v>224</v>
      </c>
      <c r="D74" s="32">
        <v>42000</v>
      </c>
      <c r="F74" s="25"/>
      <c r="G74" s="25"/>
    </row>
    <row r="75" spans="1:7" s="44" customFormat="1" outlineLevel="1" x14ac:dyDescent="0.2">
      <c r="A75" s="24"/>
      <c r="B75" s="33" t="s">
        <v>225</v>
      </c>
      <c r="C75" s="33"/>
      <c r="D75" s="34">
        <f>SUBTOTAL(9,D74:D74)</f>
        <v>42000</v>
      </c>
      <c r="F75" s="35"/>
      <c r="G75" s="35"/>
    </row>
    <row r="76" spans="1:7" s="38" customFormat="1" outlineLevel="2" x14ac:dyDescent="0.2">
      <c r="A76" s="88" t="s">
        <v>148</v>
      </c>
      <c r="B76" s="31" t="s">
        <v>138</v>
      </c>
      <c r="C76" s="31" t="s">
        <v>140</v>
      </c>
      <c r="D76" s="32">
        <f>66000+3000+3000</f>
        <v>72000</v>
      </c>
      <c r="F76" s="25"/>
      <c r="G76" s="25"/>
    </row>
    <row r="77" spans="1:7" s="38" customFormat="1" outlineLevel="2" x14ac:dyDescent="0.2">
      <c r="A77" s="89"/>
      <c r="B77" s="31" t="s">
        <v>138</v>
      </c>
      <c r="C77" s="31" t="s">
        <v>194</v>
      </c>
      <c r="D77" s="32">
        <v>3000</v>
      </c>
      <c r="F77" s="25"/>
      <c r="G77" s="25"/>
    </row>
    <row r="78" spans="1:7" s="38" customFormat="1" outlineLevel="2" x14ac:dyDescent="0.2">
      <c r="A78" s="89"/>
      <c r="B78" s="31" t="s">
        <v>138</v>
      </c>
      <c r="C78" s="31" t="s">
        <v>226</v>
      </c>
      <c r="D78" s="32">
        <v>108000</v>
      </c>
      <c r="F78" s="25"/>
      <c r="G78" s="25"/>
    </row>
    <row r="79" spans="1:7" s="38" customFormat="1" outlineLevel="2" x14ac:dyDescent="0.2">
      <c r="A79" s="89"/>
      <c r="B79" s="31" t="s">
        <v>138</v>
      </c>
      <c r="C79" s="31" t="s">
        <v>138</v>
      </c>
      <c r="D79" s="32">
        <v>33000</v>
      </c>
      <c r="F79" s="25"/>
      <c r="G79" s="25"/>
    </row>
    <row r="80" spans="1:7" s="38" customFormat="1" outlineLevel="2" x14ac:dyDescent="0.2">
      <c r="A80" s="89"/>
      <c r="B80" s="31" t="s">
        <v>138</v>
      </c>
      <c r="C80" s="31" t="s">
        <v>142</v>
      </c>
      <c r="D80" s="32">
        <v>78000</v>
      </c>
      <c r="F80" s="25"/>
      <c r="G80" s="25"/>
    </row>
    <row r="81" spans="1:7" s="38" customFormat="1" outlineLevel="2" x14ac:dyDescent="0.2">
      <c r="A81" s="90"/>
      <c r="B81" s="31" t="s">
        <v>138</v>
      </c>
      <c r="C81" s="31" t="s">
        <v>143</v>
      </c>
      <c r="D81" s="32">
        <v>6000</v>
      </c>
      <c r="F81" s="25"/>
      <c r="G81" s="25"/>
    </row>
    <row r="82" spans="1:7" s="44" customFormat="1" outlineLevel="1" x14ac:dyDescent="0.2">
      <c r="A82" s="24"/>
      <c r="B82" s="33" t="s">
        <v>144</v>
      </c>
      <c r="C82" s="33"/>
      <c r="D82" s="34">
        <f>SUBTOTAL(9,D76:D81)</f>
        <v>300000</v>
      </c>
      <c r="F82" s="35"/>
      <c r="G82" s="35"/>
    </row>
    <row r="83" spans="1:7" s="38" customFormat="1" outlineLevel="2" x14ac:dyDescent="0.2">
      <c r="A83" s="88" t="s">
        <v>227</v>
      </c>
      <c r="B83" s="31" t="s">
        <v>149</v>
      </c>
      <c r="C83" s="31" t="s">
        <v>228</v>
      </c>
      <c r="D83" s="32">
        <v>171000</v>
      </c>
      <c r="F83" s="25"/>
      <c r="G83" s="25"/>
    </row>
    <row r="84" spans="1:7" s="38" customFormat="1" outlineLevel="2" x14ac:dyDescent="0.2">
      <c r="A84" s="90"/>
      <c r="B84" s="31" t="s">
        <v>149</v>
      </c>
      <c r="C84" s="31" t="s">
        <v>149</v>
      </c>
      <c r="D84" s="32">
        <f>15000+3000</f>
        <v>18000</v>
      </c>
      <c r="F84" s="25"/>
      <c r="G84" s="25"/>
    </row>
    <row r="85" spans="1:7" s="44" customFormat="1" outlineLevel="1" x14ac:dyDescent="0.2">
      <c r="A85" s="24"/>
      <c r="B85" s="33" t="s">
        <v>152</v>
      </c>
      <c r="C85" s="33"/>
      <c r="D85" s="34">
        <f>SUBTOTAL(9,D83:D84)</f>
        <v>189000</v>
      </c>
      <c r="F85" s="35"/>
      <c r="G85" s="35"/>
    </row>
    <row r="86" spans="1:7" s="44" customFormat="1" ht="33" customHeight="1" x14ac:dyDescent="0.2">
      <c r="A86" s="24"/>
      <c r="B86" s="33" t="s">
        <v>153</v>
      </c>
      <c r="C86" s="33"/>
      <c r="D86" s="34">
        <f>SUBTOTAL(9,D3:D84)</f>
        <v>7235000</v>
      </c>
      <c r="F86" s="35"/>
      <c r="G86" s="35"/>
    </row>
    <row r="87" spans="1:7" s="38" customFormat="1" x14ac:dyDescent="0.2">
      <c r="A87" s="46"/>
      <c r="B87" s="47"/>
      <c r="C87" s="47"/>
      <c r="F87" s="25"/>
    </row>
    <row r="88" spans="1:7" s="38" customFormat="1" x14ac:dyDescent="0.2">
      <c r="A88" s="48"/>
      <c r="B88" s="25"/>
      <c r="C88" s="25"/>
      <c r="F88" s="25"/>
    </row>
  </sheetData>
  <autoFilter ref="A2:D84" xr:uid="{269E8748-DDA9-4675-9B0A-D8CEAAC512A6}">
    <sortState xmlns:xlrd2="http://schemas.microsoft.com/office/spreadsheetml/2017/richdata2" ref="A3:D84">
      <sortCondition ref="B2:B84"/>
    </sortState>
  </autoFilter>
  <mergeCells count="14">
    <mergeCell ref="A76:A81"/>
    <mergeCell ref="A83:A84"/>
    <mergeCell ref="A33:A34"/>
    <mergeCell ref="A36:A38"/>
    <mergeCell ref="A46:A48"/>
    <mergeCell ref="A54:A63"/>
    <mergeCell ref="A65:A66"/>
    <mergeCell ref="A68:A72"/>
    <mergeCell ref="A24:A31"/>
    <mergeCell ref="A1:D1"/>
    <mergeCell ref="A5:A6"/>
    <mergeCell ref="A8:A10"/>
    <mergeCell ref="A14:A17"/>
    <mergeCell ref="A19:A22"/>
  </mergeCells>
  <pageMargins left="0.6" right="0.56999999999999995" top="0.41" bottom="0.42" header="0.15748031496062992" footer="0"/>
  <pageSetup paperSize="9" orientation="portrait" r:id="rId1"/>
  <headerFooter>
    <oddHeader>&amp;RTabela nr 1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A69E-4116-478B-BC2C-7EF812034171}">
  <dimension ref="A1:F124"/>
  <sheetViews>
    <sheetView tabSelected="1" zoomScale="85" zoomScaleNormal="85" workbookViewId="0">
      <selection activeCell="H11" sqref="H11"/>
    </sheetView>
  </sheetViews>
  <sheetFormatPr defaultRowHeight="14.25" outlineLevelRow="2" x14ac:dyDescent="0.2"/>
  <cols>
    <col min="1" max="1" width="3.375" style="2" bestFit="1" customWidth="1"/>
    <col min="2" max="2" width="19.875" style="2" customWidth="1"/>
    <col min="3" max="3" width="22.375" style="2" customWidth="1"/>
    <col min="4" max="4" width="8.125" style="2" customWidth="1"/>
    <col min="5" max="5" width="22.625" style="1" customWidth="1"/>
    <col min="6" max="6" width="11.5" style="1" bestFit="1" customWidth="1"/>
    <col min="7" max="7" width="9" style="2"/>
    <col min="8" max="8" width="48.625" style="2" customWidth="1"/>
    <col min="9" max="255" width="9" style="2"/>
    <col min="256" max="256" width="3.375" style="2" bestFit="1" customWidth="1"/>
    <col min="257" max="257" width="21.25" style="2" customWidth="1"/>
    <col min="258" max="258" width="16.875" style="2" customWidth="1"/>
    <col min="259" max="259" width="21.125" style="2" customWidth="1"/>
    <col min="260" max="260" width="8.125" style="2" customWidth="1"/>
    <col min="261" max="261" width="17.75" style="2" customWidth="1"/>
    <col min="262" max="262" width="11.5" style="2" bestFit="1" customWidth="1"/>
    <col min="263" max="263" width="9" style="2"/>
    <col min="264" max="264" width="48.625" style="2" customWidth="1"/>
    <col min="265" max="511" width="9" style="2"/>
    <col min="512" max="512" width="3.375" style="2" bestFit="1" customWidth="1"/>
    <col min="513" max="513" width="21.25" style="2" customWidth="1"/>
    <col min="514" max="514" width="16.875" style="2" customWidth="1"/>
    <col min="515" max="515" width="21.125" style="2" customWidth="1"/>
    <col min="516" max="516" width="8.125" style="2" customWidth="1"/>
    <col min="517" max="517" width="17.75" style="2" customWidth="1"/>
    <col min="518" max="518" width="11.5" style="2" bestFit="1" customWidth="1"/>
    <col min="519" max="519" width="9" style="2"/>
    <col min="520" max="520" width="48.625" style="2" customWidth="1"/>
    <col min="521" max="767" width="9" style="2"/>
    <col min="768" max="768" width="3.375" style="2" bestFit="1" customWidth="1"/>
    <col min="769" max="769" width="21.25" style="2" customWidth="1"/>
    <col min="770" max="770" width="16.875" style="2" customWidth="1"/>
    <col min="771" max="771" width="21.125" style="2" customWidth="1"/>
    <col min="772" max="772" width="8.125" style="2" customWidth="1"/>
    <col min="773" max="773" width="17.75" style="2" customWidth="1"/>
    <col min="774" max="774" width="11.5" style="2" bestFit="1" customWidth="1"/>
    <col min="775" max="775" width="9" style="2"/>
    <col min="776" max="776" width="48.625" style="2" customWidth="1"/>
    <col min="777" max="1023" width="9" style="2"/>
    <col min="1024" max="1024" width="3.375" style="2" bestFit="1" customWidth="1"/>
    <col min="1025" max="1025" width="21.25" style="2" customWidth="1"/>
    <col min="1026" max="1026" width="16.875" style="2" customWidth="1"/>
    <col min="1027" max="1027" width="21.125" style="2" customWidth="1"/>
    <col min="1028" max="1028" width="8.125" style="2" customWidth="1"/>
    <col min="1029" max="1029" width="17.75" style="2" customWidth="1"/>
    <col min="1030" max="1030" width="11.5" style="2" bestFit="1" customWidth="1"/>
    <col min="1031" max="1031" width="9" style="2"/>
    <col min="1032" max="1032" width="48.625" style="2" customWidth="1"/>
    <col min="1033" max="1279" width="9" style="2"/>
    <col min="1280" max="1280" width="3.375" style="2" bestFit="1" customWidth="1"/>
    <col min="1281" max="1281" width="21.25" style="2" customWidth="1"/>
    <col min="1282" max="1282" width="16.875" style="2" customWidth="1"/>
    <col min="1283" max="1283" width="21.125" style="2" customWidth="1"/>
    <col min="1284" max="1284" width="8.125" style="2" customWidth="1"/>
    <col min="1285" max="1285" width="17.75" style="2" customWidth="1"/>
    <col min="1286" max="1286" width="11.5" style="2" bestFit="1" customWidth="1"/>
    <col min="1287" max="1287" width="9" style="2"/>
    <col min="1288" max="1288" width="48.625" style="2" customWidth="1"/>
    <col min="1289" max="1535" width="9" style="2"/>
    <col min="1536" max="1536" width="3.375" style="2" bestFit="1" customWidth="1"/>
    <col min="1537" max="1537" width="21.25" style="2" customWidth="1"/>
    <col min="1538" max="1538" width="16.875" style="2" customWidth="1"/>
    <col min="1539" max="1539" width="21.125" style="2" customWidth="1"/>
    <col min="1540" max="1540" width="8.125" style="2" customWidth="1"/>
    <col min="1541" max="1541" width="17.75" style="2" customWidth="1"/>
    <col min="1542" max="1542" width="11.5" style="2" bestFit="1" customWidth="1"/>
    <col min="1543" max="1543" width="9" style="2"/>
    <col min="1544" max="1544" width="48.625" style="2" customWidth="1"/>
    <col min="1545" max="1791" width="9" style="2"/>
    <col min="1792" max="1792" width="3.375" style="2" bestFit="1" customWidth="1"/>
    <col min="1793" max="1793" width="21.25" style="2" customWidth="1"/>
    <col min="1794" max="1794" width="16.875" style="2" customWidth="1"/>
    <col min="1795" max="1795" width="21.125" style="2" customWidth="1"/>
    <col min="1796" max="1796" width="8.125" style="2" customWidth="1"/>
    <col min="1797" max="1797" width="17.75" style="2" customWidth="1"/>
    <col min="1798" max="1798" width="11.5" style="2" bestFit="1" customWidth="1"/>
    <col min="1799" max="1799" width="9" style="2"/>
    <col min="1800" max="1800" width="48.625" style="2" customWidth="1"/>
    <col min="1801" max="2047" width="9" style="2"/>
    <col min="2048" max="2048" width="3.375" style="2" bestFit="1" customWidth="1"/>
    <col min="2049" max="2049" width="21.25" style="2" customWidth="1"/>
    <col min="2050" max="2050" width="16.875" style="2" customWidth="1"/>
    <col min="2051" max="2051" width="21.125" style="2" customWidth="1"/>
    <col min="2052" max="2052" width="8.125" style="2" customWidth="1"/>
    <col min="2053" max="2053" width="17.75" style="2" customWidth="1"/>
    <col min="2054" max="2054" width="11.5" style="2" bestFit="1" customWidth="1"/>
    <col min="2055" max="2055" width="9" style="2"/>
    <col min="2056" max="2056" width="48.625" style="2" customWidth="1"/>
    <col min="2057" max="2303" width="9" style="2"/>
    <col min="2304" max="2304" width="3.375" style="2" bestFit="1" customWidth="1"/>
    <col min="2305" max="2305" width="21.25" style="2" customWidth="1"/>
    <col min="2306" max="2306" width="16.875" style="2" customWidth="1"/>
    <col min="2307" max="2307" width="21.125" style="2" customWidth="1"/>
    <col min="2308" max="2308" width="8.125" style="2" customWidth="1"/>
    <col min="2309" max="2309" width="17.75" style="2" customWidth="1"/>
    <col min="2310" max="2310" width="11.5" style="2" bestFit="1" customWidth="1"/>
    <col min="2311" max="2311" width="9" style="2"/>
    <col min="2312" max="2312" width="48.625" style="2" customWidth="1"/>
    <col min="2313" max="2559" width="9" style="2"/>
    <col min="2560" max="2560" width="3.375" style="2" bestFit="1" customWidth="1"/>
    <col min="2561" max="2561" width="21.25" style="2" customWidth="1"/>
    <col min="2562" max="2562" width="16.875" style="2" customWidth="1"/>
    <col min="2563" max="2563" width="21.125" style="2" customWidth="1"/>
    <col min="2564" max="2564" width="8.125" style="2" customWidth="1"/>
    <col min="2565" max="2565" width="17.75" style="2" customWidth="1"/>
    <col min="2566" max="2566" width="11.5" style="2" bestFit="1" customWidth="1"/>
    <col min="2567" max="2567" width="9" style="2"/>
    <col min="2568" max="2568" width="48.625" style="2" customWidth="1"/>
    <col min="2569" max="2815" width="9" style="2"/>
    <col min="2816" max="2816" width="3.375" style="2" bestFit="1" customWidth="1"/>
    <col min="2817" max="2817" width="21.25" style="2" customWidth="1"/>
    <col min="2818" max="2818" width="16.875" style="2" customWidth="1"/>
    <col min="2819" max="2819" width="21.125" style="2" customWidth="1"/>
    <col min="2820" max="2820" width="8.125" style="2" customWidth="1"/>
    <col min="2821" max="2821" width="17.75" style="2" customWidth="1"/>
    <col min="2822" max="2822" width="11.5" style="2" bestFit="1" customWidth="1"/>
    <col min="2823" max="2823" width="9" style="2"/>
    <col min="2824" max="2824" width="48.625" style="2" customWidth="1"/>
    <col min="2825" max="3071" width="9" style="2"/>
    <col min="3072" max="3072" width="3.375" style="2" bestFit="1" customWidth="1"/>
    <col min="3073" max="3073" width="21.25" style="2" customWidth="1"/>
    <col min="3074" max="3074" width="16.875" style="2" customWidth="1"/>
    <col min="3075" max="3075" width="21.125" style="2" customWidth="1"/>
    <col min="3076" max="3076" width="8.125" style="2" customWidth="1"/>
    <col min="3077" max="3077" width="17.75" style="2" customWidth="1"/>
    <col min="3078" max="3078" width="11.5" style="2" bestFit="1" customWidth="1"/>
    <col min="3079" max="3079" width="9" style="2"/>
    <col min="3080" max="3080" width="48.625" style="2" customWidth="1"/>
    <col min="3081" max="3327" width="9" style="2"/>
    <col min="3328" max="3328" width="3.375" style="2" bestFit="1" customWidth="1"/>
    <col min="3329" max="3329" width="21.25" style="2" customWidth="1"/>
    <col min="3330" max="3330" width="16.875" style="2" customWidth="1"/>
    <col min="3331" max="3331" width="21.125" style="2" customWidth="1"/>
    <col min="3332" max="3332" width="8.125" style="2" customWidth="1"/>
    <col min="3333" max="3333" width="17.75" style="2" customWidth="1"/>
    <col min="3334" max="3334" width="11.5" style="2" bestFit="1" customWidth="1"/>
    <col min="3335" max="3335" width="9" style="2"/>
    <col min="3336" max="3336" width="48.625" style="2" customWidth="1"/>
    <col min="3337" max="3583" width="9" style="2"/>
    <col min="3584" max="3584" width="3.375" style="2" bestFit="1" customWidth="1"/>
    <col min="3585" max="3585" width="21.25" style="2" customWidth="1"/>
    <col min="3586" max="3586" width="16.875" style="2" customWidth="1"/>
    <col min="3587" max="3587" width="21.125" style="2" customWidth="1"/>
    <col min="3588" max="3588" width="8.125" style="2" customWidth="1"/>
    <col min="3589" max="3589" width="17.75" style="2" customWidth="1"/>
    <col min="3590" max="3590" width="11.5" style="2" bestFit="1" customWidth="1"/>
    <col min="3591" max="3591" width="9" style="2"/>
    <col min="3592" max="3592" width="48.625" style="2" customWidth="1"/>
    <col min="3593" max="3839" width="9" style="2"/>
    <col min="3840" max="3840" width="3.375" style="2" bestFit="1" customWidth="1"/>
    <col min="3841" max="3841" width="21.25" style="2" customWidth="1"/>
    <col min="3842" max="3842" width="16.875" style="2" customWidth="1"/>
    <col min="3843" max="3843" width="21.125" style="2" customWidth="1"/>
    <col min="3844" max="3844" width="8.125" style="2" customWidth="1"/>
    <col min="3845" max="3845" width="17.75" style="2" customWidth="1"/>
    <col min="3846" max="3846" width="11.5" style="2" bestFit="1" customWidth="1"/>
    <col min="3847" max="3847" width="9" style="2"/>
    <col min="3848" max="3848" width="48.625" style="2" customWidth="1"/>
    <col min="3849" max="4095" width="9" style="2"/>
    <col min="4096" max="4096" width="3.375" style="2" bestFit="1" customWidth="1"/>
    <col min="4097" max="4097" width="21.25" style="2" customWidth="1"/>
    <col min="4098" max="4098" width="16.875" style="2" customWidth="1"/>
    <col min="4099" max="4099" width="21.125" style="2" customWidth="1"/>
    <col min="4100" max="4100" width="8.125" style="2" customWidth="1"/>
    <col min="4101" max="4101" width="17.75" style="2" customWidth="1"/>
    <col min="4102" max="4102" width="11.5" style="2" bestFit="1" customWidth="1"/>
    <col min="4103" max="4103" width="9" style="2"/>
    <col min="4104" max="4104" width="48.625" style="2" customWidth="1"/>
    <col min="4105" max="4351" width="9" style="2"/>
    <col min="4352" max="4352" width="3.375" style="2" bestFit="1" customWidth="1"/>
    <col min="4353" max="4353" width="21.25" style="2" customWidth="1"/>
    <col min="4354" max="4354" width="16.875" style="2" customWidth="1"/>
    <col min="4355" max="4355" width="21.125" style="2" customWidth="1"/>
    <col min="4356" max="4356" width="8.125" style="2" customWidth="1"/>
    <col min="4357" max="4357" width="17.75" style="2" customWidth="1"/>
    <col min="4358" max="4358" width="11.5" style="2" bestFit="1" customWidth="1"/>
    <col min="4359" max="4359" width="9" style="2"/>
    <col min="4360" max="4360" width="48.625" style="2" customWidth="1"/>
    <col min="4361" max="4607" width="9" style="2"/>
    <col min="4608" max="4608" width="3.375" style="2" bestFit="1" customWidth="1"/>
    <col min="4609" max="4609" width="21.25" style="2" customWidth="1"/>
    <col min="4610" max="4610" width="16.875" style="2" customWidth="1"/>
    <col min="4611" max="4611" width="21.125" style="2" customWidth="1"/>
    <col min="4612" max="4612" width="8.125" style="2" customWidth="1"/>
    <col min="4613" max="4613" width="17.75" style="2" customWidth="1"/>
    <col min="4614" max="4614" width="11.5" style="2" bestFit="1" customWidth="1"/>
    <col min="4615" max="4615" width="9" style="2"/>
    <col min="4616" max="4616" width="48.625" style="2" customWidth="1"/>
    <col min="4617" max="4863" width="9" style="2"/>
    <col min="4864" max="4864" width="3.375" style="2" bestFit="1" customWidth="1"/>
    <col min="4865" max="4865" width="21.25" style="2" customWidth="1"/>
    <col min="4866" max="4866" width="16.875" style="2" customWidth="1"/>
    <col min="4867" max="4867" width="21.125" style="2" customWidth="1"/>
    <col min="4868" max="4868" width="8.125" style="2" customWidth="1"/>
    <col min="4869" max="4869" width="17.75" style="2" customWidth="1"/>
    <col min="4870" max="4870" width="11.5" style="2" bestFit="1" customWidth="1"/>
    <col min="4871" max="4871" width="9" style="2"/>
    <col min="4872" max="4872" width="48.625" style="2" customWidth="1"/>
    <col min="4873" max="5119" width="9" style="2"/>
    <col min="5120" max="5120" width="3.375" style="2" bestFit="1" customWidth="1"/>
    <col min="5121" max="5121" width="21.25" style="2" customWidth="1"/>
    <col min="5122" max="5122" width="16.875" style="2" customWidth="1"/>
    <col min="5123" max="5123" width="21.125" style="2" customWidth="1"/>
    <col min="5124" max="5124" width="8.125" style="2" customWidth="1"/>
    <col min="5125" max="5125" width="17.75" style="2" customWidth="1"/>
    <col min="5126" max="5126" width="11.5" style="2" bestFit="1" customWidth="1"/>
    <col min="5127" max="5127" width="9" style="2"/>
    <col min="5128" max="5128" width="48.625" style="2" customWidth="1"/>
    <col min="5129" max="5375" width="9" style="2"/>
    <col min="5376" max="5376" width="3.375" style="2" bestFit="1" customWidth="1"/>
    <col min="5377" max="5377" width="21.25" style="2" customWidth="1"/>
    <col min="5378" max="5378" width="16.875" style="2" customWidth="1"/>
    <col min="5379" max="5379" width="21.125" style="2" customWidth="1"/>
    <col min="5380" max="5380" width="8.125" style="2" customWidth="1"/>
    <col min="5381" max="5381" width="17.75" style="2" customWidth="1"/>
    <col min="5382" max="5382" width="11.5" style="2" bestFit="1" customWidth="1"/>
    <col min="5383" max="5383" width="9" style="2"/>
    <col min="5384" max="5384" width="48.625" style="2" customWidth="1"/>
    <col min="5385" max="5631" width="9" style="2"/>
    <col min="5632" max="5632" width="3.375" style="2" bestFit="1" customWidth="1"/>
    <col min="5633" max="5633" width="21.25" style="2" customWidth="1"/>
    <col min="5634" max="5634" width="16.875" style="2" customWidth="1"/>
    <col min="5635" max="5635" width="21.125" style="2" customWidth="1"/>
    <col min="5636" max="5636" width="8.125" style="2" customWidth="1"/>
    <col min="5637" max="5637" width="17.75" style="2" customWidth="1"/>
    <col min="5638" max="5638" width="11.5" style="2" bestFit="1" customWidth="1"/>
    <col min="5639" max="5639" width="9" style="2"/>
    <col min="5640" max="5640" width="48.625" style="2" customWidth="1"/>
    <col min="5641" max="5887" width="9" style="2"/>
    <col min="5888" max="5888" width="3.375" style="2" bestFit="1" customWidth="1"/>
    <col min="5889" max="5889" width="21.25" style="2" customWidth="1"/>
    <col min="5890" max="5890" width="16.875" style="2" customWidth="1"/>
    <col min="5891" max="5891" width="21.125" style="2" customWidth="1"/>
    <col min="5892" max="5892" width="8.125" style="2" customWidth="1"/>
    <col min="5893" max="5893" width="17.75" style="2" customWidth="1"/>
    <col min="5894" max="5894" width="11.5" style="2" bestFit="1" customWidth="1"/>
    <col min="5895" max="5895" width="9" style="2"/>
    <col min="5896" max="5896" width="48.625" style="2" customWidth="1"/>
    <col min="5897" max="6143" width="9" style="2"/>
    <col min="6144" max="6144" width="3.375" style="2" bestFit="1" customWidth="1"/>
    <col min="6145" max="6145" width="21.25" style="2" customWidth="1"/>
    <col min="6146" max="6146" width="16.875" style="2" customWidth="1"/>
    <col min="6147" max="6147" width="21.125" style="2" customWidth="1"/>
    <col min="6148" max="6148" width="8.125" style="2" customWidth="1"/>
    <col min="6149" max="6149" width="17.75" style="2" customWidth="1"/>
    <col min="6150" max="6150" width="11.5" style="2" bestFit="1" customWidth="1"/>
    <col min="6151" max="6151" width="9" style="2"/>
    <col min="6152" max="6152" width="48.625" style="2" customWidth="1"/>
    <col min="6153" max="6399" width="9" style="2"/>
    <col min="6400" max="6400" width="3.375" style="2" bestFit="1" customWidth="1"/>
    <col min="6401" max="6401" width="21.25" style="2" customWidth="1"/>
    <col min="6402" max="6402" width="16.875" style="2" customWidth="1"/>
    <col min="6403" max="6403" width="21.125" style="2" customWidth="1"/>
    <col min="6404" max="6404" width="8.125" style="2" customWidth="1"/>
    <col min="6405" max="6405" width="17.75" style="2" customWidth="1"/>
    <col min="6406" max="6406" width="11.5" style="2" bestFit="1" customWidth="1"/>
    <col min="6407" max="6407" width="9" style="2"/>
    <col min="6408" max="6408" width="48.625" style="2" customWidth="1"/>
    <col min="6409" max="6655" width="9" style="2"/>
    <col min="6656" max="6656" width="3.375" style="2" bestFit="1" customWidth="1"/>
    <col min="6657" max="6657" width="21.25" style="2" customWidth="1"/>
    <col min="6658" max="6658" width="16.875" style="2" customWidth="1"/>
    <col min="6659" max="6659" width="21.125" style="2" customWidth="1"/>
    <col min="6660" max="6660" width="8.125" style="2" customWidth="1"/>
    <col min="6661" max="6661" width="17.75" style="2" customWidth="1"/>
    <col min="6662" max="6662" width="11.5" style="2" bestFit="1" customWidth="1"/>
    <col min="6663" max="6663" width="9" style="2"/>
    <col min="6664" max="6664" width="48.625" style="2" customWidth="1"/>
    <col min="6665" max="6911" width="9" style="2"/>
    <col min="6912" max="6912" width="3.375" style="2" bestFit="1" customWidth="1"/>
    <col min="6913" max="6913" width="21.25" style="2" customWidth="1"/>
    <col min="6914" max="6914" width="16.875" style="2" customWidth="1"/>
    <col min="6915" max="6915" width="21.125" style="2" customWidth="1"/>
    <col min="6916" max="6916" width="8.125" style="2" customWidth="1"/>
    <col min="6917" max="6917" width="17.75" style="2" customWidth="1"/>
    <col min="6918" max="6918" width="11.5" style="2" bestFit="1" customWidth="1"/>
    <col min="6919" max="6919" width="9" style="2"/>
    <col min="6920" max="6920" width="48.625" style="2" customWidth="1"/>
    <col min="6921" max="7167" width="9" style="2"/>
    <col min="7168" max="7168" width="3.375" style="2" bestFit="1" customWidth="1"/>
    <col min="7169" max="7169" width="21.25" style="2" customWidth="1"/>
    <col min="7170" max="7170" width="16.875" style="2" customWidth="1"/>
    <col min="7171" max="7171" width="21.125" style="2" customWidth="1"/>
    <col min="7172" max="7172" width="8.125" style="2" customWidth="1"/>
    <col min="7173" max="7173" width="17.75" style="2" customWidth="1"/>
    <col min="7174" max="7174" width="11.5" style="2" bestFit="1" customWidth="1"/>
    <col min="7175" max="7175" width="9" style="2"/>
    <col min="7176" max="7176" width="48.625" style="2" customWidth="1"/>
    <col min="7177" max="7423" width="9" style="2"/>
    <col min="7424" max="7424" width="3.375" style="2" bestFit="1" customWidth="1"/>
    <col min="7425" max="7425" width="21.25" style="2" customWidth="1"/>
    <col min="7426" max="7426" width="16.875" style="2" customWidth="1"/>
    <col min="7427" max="7427" width="21.125" style="2" customWidth="1"/>
    <col min="7428" max="7428" width="8.125" style="2" customWidth="1"/>
    <col min="7429" max="7429" width="17.75" style="2" customWidth="1"/>
    <col min="7430" max="7430" width="11.5" style="2" bestFit="1" customWidth="1"/>
    <col min="7431" max="7431" width="9" style="2"/>
    <col min="7432" max="7432" width="48.625" style="2" customWidth="1"/>
    <col min="7433" max="7679" width="9" style="2"/>
    <col min="7680" max="7680" width="3.375" style="2" bestFit="1" customWidth="1"/>
    <col min="7681" max="7681" width="21.25" style="2" customWidth="1"/>
    <col min="7682" max="7682" width="16.875" style="2" customWidth="1"/>
    <col min="7683" max="7683" width="21.125" style="2" customWidth="1"/>
    <col min="7684" max="7684" width="8.125" style="2" customWidth="1"/>
    <col min="7685" max="7685" width="17.75" style="2" customWidth="1"/>
    <col min="7686" max="7686" width="11.5" style="2" bestFit="1" customWidth="1"/>
    <col min="7687" max="7687" width="9" style="2"/>
    <col min="7688" max="7688" width="48.625" style="2" customWidth="1"/>
    <col min="7689" max="7935" width="9" style="2"/>
    <col min="7936" max="7936" width="3.375" style="2" bestFit="1" customWidth="1"/>
    <col min="7937" max="7937" width="21.25" style="2" customWidth="1"/>
    <col min="7938" max="7938" width="16.875" style="2" customWidth="1"/>
    <col min="7939" max="7939" width="21.125" style="2" customWidth="1"/>
    <col min="7940" max="7940" width="8.125" style="2" customWidth="1"/>
    <col min="7941" max="7941" width="17.75" style="2" customWidth="1"/>
    <col min="7942" max="7942" width="11.5" style="2" bestFit="1" customWidth="1"/>
    <col min="7943" max="7943" width="9" style="2"/>
    <col min="7944" max="7944" width="48.625" style="2" customWidth="1"/>
    <col min="7945" max="8191" width="9" style="2"/>
    <col min="8192" max="8192" width="3.375" style="2" bestFit="1" customWidth="1"/>
    <col min="8193" max="8193" width="21.25" style="2" customWidth="1"/>
    <col min="8194" max="8194" width="16.875" style="2" customWidth="1"/>
    <col min="8195" max="8195" width="21.125" style="2" customWidth="1"/>
    <col min="8196" max="8196" width="8.125" style="2" customWidth="1"/>
    <col min="8197" max="8197" width="17.75" style="2" customWidth="1"/>
    <col min="8198" max="8198" width="11.5" style="2" bestFit="1" customWidth="1"/>
    <col min="8199" max="8199" width="9" style="2"/>
    <col min="8200" max="8200" width="48.625" style="2" customWidth="1"/>
    <col min="8201" max="8447" width="9" style="2"/>
    <col min="8448" max="8448" width="3.375" style="2" bestFit="1" customWidth="1"/>
    <col min="8449" max="8449" width="21.25" style="2" customWidth="1"/>
    <col min="8450" max="8450" width="16.875" style="2" customWidth="1"/>
    <col min="8451" max="8451" width="21.125" style="2" customWidth="1"/>
    <col min="8452" max="8452" width="8.125" style="2" customWidth="1"/>
    <col min="8453" max="8453" width="17.75" style="2" customWidth="1"/>
    <col min="8454" max="8454" width="11.5" style="2" bestFit="1" customWidth="1"/>
    <col min="8455" max="8455" width="9" style="2"/>
    <col min="8456" max="8456" width="48.625" style="2" customWidth="1"/>
    <col min="8457" max="8703" width="9" style="2"/>
    <col min="8704" max="8704" width="3.375" style="2" bestFit="1" customWidth="1"/>
    <col min="8705" max="8705" width="21.25" style="2" customWidth="1"/>
    <col min="8706" max="8706" width="16.875" style="2" customWidth="1"/>
    <col min="8707" max="8707" width="21.125" style="2" customWidth="1"/>
    <col min="8708" max="8708" width="8.125" style="2" customWidth="1"/>
    <col min="8709" max="8709" width="17.75" style="2" customWidth="1"/>
    <col min="8710" max="8710" width="11.5" style="2" bestFit="1" customWidth="1"/>
    <col min="8711" max="8711" width="9" style="2"/>
    <col min="8712" max="8712" width="48.625" style="2" customWidth="1"/>
    <col min="8713" max="8959" width="9" style="2"/>
    <col min="8960" max="8960" width="3.375" style="2" bestFit="1" customWidth="1"/>
    <col min="8961" max="8961" width="21.25" style="2" customWidth="1"/>
    <col min="8962" max="8962" width="16.875" style="2" customWidth="1"/>
    <col min="8963" max="8963" width="21.125" style="2" customWidth="1"/>
    <col min="8964" max="8964" width="8.125" style="2" customWidth="1"/>
    <col min="8965" max="8965" width="17.75" style="2" customWidth="1"/>
    <col min="8966" max="8966" width="11.5" style="2" bestFit="1" customWidth="1"/>
    <col min="8967" max="8967" width="9" style="2"/>
    <col min="8968" max="8968" width="48.625" style="2" customWidth="1"/>
    <col min="8969" max="9215" width="9" style="2"/>
    <col min="9216" max="9216" width="3.375" style="2" bestFit="1" customWidth="1"/>
    <col min="9217" max="9217" width="21.25" style="2" customWidth="1"/>
    <col min="9218" max="9218" width="16.875" style="2" customWidth="1"/>
    <col min="9219" max="9219" width="21.125" style="2" customWidth="1"/>
    <col min="9220" max="9220" width="8.125" style="2" customWidth="1"/>
    <col min="9221" max="9221" width="17.75" style="2" customWidth="1"/>
    <col min="9222" max="9222" width="11.5" style="2" bestFit="1" customWidth="1"/>
    <col min="9223" max="9223" width="9" style="2"/>
    <col min="9224" max="9224" width="48.625" style="2" customWidth="1"/>
    <col min="9225" max="9471" width="9" style="2"/>
    <col min="9472" max="9472" width="3.375" style="2" bestFit="1" customWidth="1"/>
    <col min="9473" max="9473" width="21.25" style="2" customWidth="1"/>
    <col min="9474" max="9474" width="16.875" style="2" customWidth="1"/>
    <col min="9475" max="9475" width="21.125" style="2" customWidth="1"/>
    <col min="9476" max="9476" width="8.125" style="2" customWidth="1"/>
    <col min="9477" max="9477" width="17.75" style="2" customWidth="1"/>
    <col min="9478" max="9478" width="11.5" style="2" bestFit="1" customWidth="1"/>
    <col min="9479" max="9479" width="9" style="2"/>
    <col min="9480" max="9480" width="48.625" style="2" customWidth="1"/>
    <col min="9481" max="9727" width="9" style="2"/>
    <col min="9728" max="9728" width="3.375" style="2" bestFit="1" customWidth="1"/>
    <col min="9729" max="9729" width="21.25" style="2" customWidth="1"/>
    <col min="9730" max="9730" width="16.875" style="2" customWidth="1"/>
    <col min="9731" max="9731" width="21.125" style="2" customWidth="1"/>
    <col min="9732" max="9732" width="8.125" style="2" customWidth="1"/>
    <col min="9733" max="9733" width="17.75" style="2" customWidth="1"/>
    <col min="9734" max="9734" width="11.5" style="2" bestFit="1" customWidth="1"/>
    <col min="9735" max="9735" width="9" style="2"/>
    <col min="9736" max="9736" width="48.625" style="2" customWidth="1"/>
    <col min="9737" max="9983" width="9" style="2"/>
    <col min="9984" max="9984" width="3.375" style="2" bestFit="1" customWidth="1"/>
    <col min="9985" max="9985" width="21.25" style="2" customWidth="1"/>
    <col min="9986" max="9986" width="16.875" style="2" customWidth="1"/>
    <col min="9987" max="9987" width="21.125" style="2" customWidth="1"/>
    <col min="9988" max="9988" width="8.125" style="2" customWidth="1"/>
    <col min="9989" max="9989" width="17.75" style="2" customWidth="1"/>
    <col min="9990" max="9990" width="11.5" style="2" bestFit="1" customWidth="1"/>
    <col min="9991" max="9991" width="9" style="2"/>
    <col min="9992" max="9992" width="48.625" style="2" customWidth="1"/>
    <col min="9993" max="10239" width="9" style="2"/>
    <col min="10240" max="10240" width="3.375" style="2" bestFit="1" customWidth="1"/>
    <col min="10241" max="10241" width="21.25" style="2" customWidth="1"/>
    <col min="10242" max="10242" width="16.875" style="2" customWidth="1"/>
    <col min="10243" max="10243" width="21.125" style="2" customWidth="1"/>
    <col min="10244" max="10244" width="8.125" style="2" customWidth="1"/>
    <col min="10245" max="10245" width="17.75" style="2" customWidth="1"/>
    <col min="10246" max="10246" width="11.5" style="2" bestFit="1" customWidth="1"/>
    <col min="10247" max="10247" width="9" style="2"/>
    <col min="10248" max="10248" width="48.625" style="2" customWidth="1"/>
    <col min="10249" max="10495" width="9" style="2"/>
    <col min="10496" max="10496" width="3.375" style="2" bestFit="1" customWidth="1"/>
    <col min="10497" max="10497" width="21.25" style="2" customWidth="1"/>
    <col min="10498" max="10498" width="16.875" style="2" customWidth="1"/>
    <col min="10499" max="10499" width="21.125" style="2" customWidth="1"/>
    <col min="10500" max="10500" width="8.125" style="2" customWidth="1"/>
    <col min="10501" max="10501" width="17.75" style="2" customWidth="1"/>
    <col min="10502" max="10502" width="11.5" style="2" bestFit="1" customWidth="1"/>
    <col min="10503" max="10503" width="9" style="2"/>
    <col min="10504" max="10504" width="48.625" style="2" customWidth="1"/>
    <col min="10505" max="10751" width="9" style="2"/>
    <col min="10752" max="10752" width="3.375" style="2" bestFit="1" customWidth="1"/>
    <col min="10753" max="10753" width="21.25" style="2" customWidth="1"/>
    <col min="10754" max="10754" width="16.875" style="2" customWidth="1"/>
    <col min="10755" max="10755" width="21.125" style="2" customWidth="1"/>
    <col min="10756" max="10756" width="8.125" style="2" customWidth="1"/>
    <col min="10757" max="10757" width="17.75" style="2" customWidth="1"/>
    <col min="10758" max="10758" width="11.5" style="2" bestFit="1" customWidth="1"/>
    <col min="10759" max="10759" width="9" style="2"/>
    <col min="10760" max="10760" width="48.625" style="2" customWidth="1"/>
    <col min="10761" max="11007" width="9" style="2"/>
    <col min="11008" max="11008" width="3.375" style="2" bestFit="1" customWidth="1"/>
    <col min="11009" max="11009" width="21.25" style="2" customWidth="1"/>
    <col min="11010" max="11010" width="16.875" style="2" customWidth="1"/>
    <col min="11011" max="11011" width="21.125" style="2" customWidth="1"/>
    <col min="11012" max="11012" width="8.125" style="2" customWidth="1"/>
    <col min="11013" max="11013" width="17.75" style="2" customWidth="1"/>
    <col min="11014" max="11014" width="11.5" style="2" bestFit="1" customWidth="1"/>
    <col min="11015" max="11015" width="9" style="2"/>
    <col min="11016" max="11016" width="48.625" style="2" customWidth="1"/>
    <col min="11017" max="11263" width="9" style="2"/>
    <col min="11264" max="11264" width="3.375" style="2" bestFit="1" customWidth="1"/>
    <col min="11265" max="11265" width="21.25" style="2" customWidth="1"/>
    <col min="11266" max="11266" width="16.875" style="2" customWidth="1"/>
    <col min="11267" max="11267" width="21.125" style="2" customWidth="1"/>
    <col min="11268" max="11268" width="8.125" style="2" customWidth="1"/>
    <col min="11269" max="11269" width="17.75" style="2" customWidth="1"/>
    <col min="11270" max="11270" width="11.5" style="2" bestFit="1" customWidth="1"/>
    <col min="11271" max="11271" width="9" style="2"/>
    <col min="11272" max="11272" width="48.625" style="2" customWidth="1"/>
    <col min="11273" max="11519" width="9" style="2"/>
    <col min="11520" max="11520" width="3.375" style="2" bestFit="1" customWidth="1"/>
    <col min="11521" max="11521" width="21.25" style="2" customWidth="1"/>
    <col min="11522" max="11522" width="16.875" style="2" customWidth="1"/>
    <col min="11523" max="11523" width="21.125" style="2" customWidth="1"/>
    <col min="11524" max="11524" width="8.125" style="2" customWidth="1"/>
    <col min="11525" max="11525" width="17.75" style="2" customWidth="1"/>
    <col min="11526" max="11526" width="11.5" style="2" bestFit="1" customWidth="1"/>
    <col min="11527" max="11527" width="9" style="2"/>
    <col min="11528" max="11528" width="48.625" style="2" customWidth="1"/>
    <col min="11529" max="11775" width="9" style="2"/>
    <col min="11776" max="11776" width="3.375" style="2" bestFit="1" customWidth="1"/>
    <col min="11777" max="11777" width="21.25" style="2" customWidth="1"/>
    <col min="11778" max="11778" width="16.875" style="2" customWidth="1"/>
    <col min="11779" max="11779" width="21.125" style="2" customWidth="1"/>
    <col min="11780" max="11780" width="8.125" style="2" customWidth="1"/>
    <col min="11781" max="11781" width="17.75" style="2" customWidth="1"/>
    <col min="11782" max="11782" width="11.5" style="2" bestFit="1" customWidth="1"/>
    <col min="11783" max="11783" width="9" style="2"/>
    <col min="11784" max="11784" width="48.625" style="2" customWidth="1"/>
    <col min="11785" max="12031" width="9" style="2"/>
    <col min="12032" max="12032" width="3.375" style="2" bestFit="1" customWidth="1"/>
    <col min="12033" max="12033" width="21.25" style="2" customWidth="1"/>
    <col min="12034" max="12034" width="16.875" style="2" customWidth="1"/>
    <col min="12035" max="12035" width="21.125" style="2" customWidth="1"/>
    <col min="12036" max="12036" width="8.125" style="2" customWidth="1"/>
    <col min="12037" max="12037" width="17.75" style="2" customWidth="1"/>
    <col min="12038" max="12038" width="11.5" style="2" bestFit="1" customWidth="1"/>
    <col min="12039" max="12039" width="9" style="2"/>
    <col min="12040" max="12040" width="48.625" style="2" customWidth="1"/>
    <col min="12041" max="12287" width="9" style="2"/>
    <col min="12288" max="12288" width="3.375" style="2" bestFit="1" customWidth="1"/>
    <col min="12289" max="12289" width="21.25" style="2" customWidth="1"/>
    <col min="12290" max="12290" width="16.875" style="2" customWidth="1"/>
    <col min="12291" max="12291" width="21.125" style="2" customWidth="1"/>
    <col min="12292" max="12292" width="8.125" style="2" customWidth="1"/>
    <col min="12293" max="12293" width="17.75" style="2" customWidth="1"/>
    <col min="12294" max="12294" width="11.5" style="2" bestFit="1" customWidth="1"/>
    <col min="12295" max="12295" width="9" style="2"/>
    <col min="12296" max="12296" width="48.625" style="2" customWidth="1"/>
    <col min="12297" max="12543" width="9" style="2"/>
    <col min="12544" max="12544" width="3.375" style="2" bestFit="1" customWidth="1"/>
    <col min="12545" max="12545" width="21.25" style="2" customWidth="1"/>
    <col min="12546" max="12546" width="16.875" style="2" customWidth="1"/>
    <col min="12547" max="12547" width="21.125" style="2" customWidth="1"/>
    <col min="12548" max="12548" width="8.125" style="2" customWidth="1"/>
    <col min="12549" max="12549" width="17.75" style="2" customWidth="1"/>
    <col min="12550" max="12550" width="11.5" style="2" bestFit="1" customWidth="1"/>
    <col min="12551" max="12551" width="9" style="2"/>
    <col min="12552" max="12552" width="48.625" style="2" customWidth="1"/>
    <col min="12553" max="12799" width="9" style="2"/>
    <col min="12800" max="12800" width="3.375" style="2" bestFit="1" customWidth="1"/>
    <col min="12801" max="12801" width="21.25" style="2" customWidth="1"/>
    <col min="12802" max="12802" width="16.875" style="2" customWidth="1"/>
    <col min="12803" max="12803" width="21.125" style="2" customWidth="1"/>
    <col min="12804" max="12804" width="8.125" style="2" customWidth="1"/>
    <col min="12805" max="12805" width="17.75" style="2" customWidth="1"/>
    <col min="12806" max="12806" width="11.5" style="2" bestFit="1" customWidth="1"/>
    <col min="12807" max="12807" width="9" style="2"/>
    <col min="12808" max="12808" width="48.625" style="2" customWidth="1"/>
    <col min="12809" max="13055" width="9" style="2"/>
    <col min="13056" max="13056" width="3.375" style="2" bestFit="1" customWidth="1"/>
    <col min="13057" max="13057" width="21.25" style="2" customWidth="1"/>
    <col min="13058" max="13058" width="16.875" style="2" customWidth="1"/>
    <col min="13059" max="13059" width="21.125" style="2" customWidth="1"/>
    <col min="13060" max="13060" width="8.125" style="2" customWidth="1"/>
    <col min="13061" max="13061" width="17.75" style="2" customWidth="1"/>
    <col min="13062" max="13062" width="11.5" style="2" bestFit="1" customWidth="1"/>
    <col min="13063" max="13063" width="9" style="2"/>
    <col min="13064" max="13064" width="48.625" style="2" customWidth="1"/>
    <col min="13065" max="13311" width="9" style="2"/>
    <col min="13312" max="13312" width="3.375" style="2" bestFit="1" customWidth="1"/>
    <col min="13313" max="13313" width="21.25" style="2" customWidth="1"/>
    <col min="13314" max="13314" width="16.875" style="2" customWidth="1"/>
    <col min="13315" max="13315" width="21.125" style="2" customWidth="1"/>
    <col min="13316" max="13316" width="8.125" style="2" customWidth="1"/>
    <col min="13317" max="13317" width="17.75" style="2" customWidth="1"/>
    <col min="13318" max="13318" width="11.5" style="2" bestFit="1" customWidth="1"/>
    <col min="13319" max="13319" width="9" style="2"/>
    <col min="13320" max="13320" width="48.625" style="2" customWidth="1"/>
    <col min="13321" max="13567" width="9" style="2"/>
    <col min="13568" max="13568" width="3.375" style="2" bestFit="1" customWidth="1"/>
    <col min="13569" max="13569" width="21.25" style="2" customWidth="1"/>
    <col min="13570" max="13570" width="16.875" style="2" customWidth="1"/>
    <col min="13571" max="13571" width="21.125" style="2" customWidth="1"/>
    <col min="13572" max="13572" width="8.125" style="2" customWidth="1"/>
    <col min="13573" max="13573" width="17.75" style="2" customWidth="1"/>
    <col min="13574" max="13574" width="11.5" style="2" bestFit="1" customWidth="1"/>
    <col min="13575" max="13575" width="9" style="2"/>
    <col min="13576" max="13576" width="48.625" style="2" customWidth="1"/>
    <col min="13577" max="13823" width="9" style="2"/>
    <col min="13824" max="13824" width="3.375" style="2" bestFit="1" customWidth="1"/>
    <col min="13825" max="13825" width="21.25" style="2" customWidth="1"/>
    <col min="13826" max="13826" width="16.875" style="2" customWidth="1"/>
    <col min="13827" max="13827" width="21.125" style="2" customWidth="1"/>
    <col min="13828" max="13828" width="8.125" style="2" customWidth="1"/>
    <col min="13829" max="13829" width="17.75" style="2" customWidth="1"/>
    <col min="13830" max="13830" width="11.5" style="2" bestFit="1" customWidth="1"/>
    <col min="13831" max="13831" width="9" style="2"/>
    <col min="13832" max="13832" width="48.625" style="2" customWidth="1"/>
    <col min="13833" max="14079" width="9" style="2"/>
    <col min="14080" max="14080" width="3.375" style="2" bestFit="1" customWidth="1"/>
    <col min="14081" max="14081" width="21.25" style="2" customWidth="1"/>
    <col min="14082" max="14082" width="16.875" style="2" customWidth="1"/>
    <col min="14083" max="14083" width="21.125" style="2" customWidth="1"/>
    <col min="14084" max="14084" width="8.125" style="2" customWidth="1"/>
    <col min="14085" max="14085" width="17.75" style="2" customWidth="1"/>
    <col min="14086" max="14086" width="11.5" style="2" bestFit="1" customWidth="1"/>
    <col min="14087" max="14087" width="9" style="2"/>
    <col min="14088" max="14088" width="48.625" style="2" customWidth="1"/>
    <col min="14089" max="14335" width="9" style="2"/>
    <col min="14336" max="14336" width="3.375" style="2" bestFit="1" customWidth="1"/>
    <col min="14337" max="14337" width="21.25" style="2" customWidth="1"/>
    <col min="14338" max="14338" width="16.875" style="2" customWidth="1"/>
    <col min="14339" max="14339" width="21.125" style="2" customWidth="1"/>
    <col min="14340" max="14340" width="8.125" style="2" customWidth="1"/>
    <col min="14341" max="14341" width="17.75" style="2" customWidth="1"/>
    <col min="14342" max="14342" width="11.5" style="2" bestFit="1" customWidth="1"/>
    <col min="14343" max="14343" width="9" style="2"/>
    <col min="14344" max="14344" width="48.625" style="2" customWidth="1"/>
    <col min="14345" max="14591" width="9" style="2"/>
    <col min="14592" max="14592" width="3.375" style="2" bestFit="1" customWidth="1"/>
    <col min="14593" max="14593" width="21.25" style="2" customWidth="1"/>
    <col min="14594" max="14594" width="16.875" style="2" customWidth="1"/>
    <col min="14595" max="14595" width="21.125" style="2" customWidth="1"/>
    <col min="14596" max="14596" width="8.125" style="2" customWidth="1"/>
    <col min="14597" max="14597" width="17.75" style="2" customWidth="1"/>
    <col min="14598" max="14598" width="11.5" style="2" bestFit="1" customWidth="1"/>
    <col min="14599" max="14599" width="9" style="2"/>
    <col min="14600" max="14600" width="48.625" style="2" customWidth="1"/>
    <col min="14601" max="14847" width="9" style="2"/>
    <col min="14848" max="14848" width="3.375" style="2" bestFit="1" customWidth="1"/>
    <col min="14849" max="14849" width="21.25" style="2" customWidth="1"/>
    <col min="14850" max="14850" width="16.875" style="2" customWidth="1"/>
    <col min="14851" max="14851" width="21.125" style="2" customWidth="1"/>
    <col min="14852" max="14852" width="8.125" style="2" customWidth="1"/>
    <col min="14853" max="14853" width="17.75" style="2" customWidth="1"/>
    <col min="14854" max="14854" width="11.5" style="2" bestFit="1" customWidth="1"/>
    <col min="14855" max="14855" width="9" style="2"/>
    <col min="14856" max="14856" width="48.625" style="2" customWidth="1"/>
    <col min="14857" max="15103" width="9" style="2"/>
    <col min="15104" max="15104" width="3.375" style="2" bestFit="1" customWidth="1"/>
    <col min="15105" max="15105" width="21.25" style="2" customWidth="1"/>
    <col min="15106" max="15106" width="16.875" style="2" customWidth="1"/>
    <col min="15107" max="15107" width="21.125" style="2" customWidth="1"/>
    <col min="15108" max="15108" width="8.125" style="2" customWidth="1"/>
    <col min="15109" max="15109" width="17.75" style="2" customWidth="1"/>
    <col min="15110" max="15110" width="11.5" style="2" bestFit="1" customWidth="1"/>
    <col min="15111" max="15111" width="9" style="2"/>
    <col min="15112" max="15112" width="48.625" style="2" customWidth="1"/>
    <col min="15113" max="15359" width="9" style="2"/>
    <col min="15360" max="15360" width="3.375" style="2" bestFit="1" customWidth="1"/>
    <col min="15361" max="15361" width="21.25" style="2" customWidth="1"/>
    <col min="15362" max="15362" width="16.875" style="2" customWidth="1"/>
    <col min="15363" max="15363" width="21.125" style="2" customWidth="1"/>
    <col min="15364" max="15364" width="8.125" style="2" customWidth="1"/>
    <col min="15365" max="15365" width="17.75" style="2" customWidth="1"/>
    <col min="15366" max="15366" width="11.5" style="2" bestFit="1" customWidth="1"/>
    <col min="15367" max="15367" width="9" style="2"/>
    <col min="15368" max="15368" width="48.625" style="2" customWidth="1"/>
    <col min="15369" max="15615" width="9" style="2"/>
    <col min="15616" max="15616" width="3.375" style="2" bestFit="1" customWidth="1"/>
    <col min="15617" max="15617" width="21.25" style="2" customWidth="1"/>
    <col min="15618" max="15618" width="16.875" style="2" customWidth="1"/>
    <col min="15619" max="15619" width="21.125" style="2" customWidth="1"/>
    <col min="15620" max="15620" width="8.125" style="2" customWidth="1"/>
    <col min="15621" max="15621" width="17.75" style="2" customWidth="1"/>
    <col min="15622" max="15622" width="11.5" style="2" bestFit="1" customWidth="1"/>
    <col min="15623" max="15623" width="9" style="2"/>
    <col min="15624" max="15624" width="48.625" style="2" customWidth="1"/>
    <col min="15625" max="15871" width="9" style="2"/>
    <col min="15872" max="15872" width="3.375" style="2" bestFit="1" customWidth="1"/>
    <col min="15873" max="15873" width="21.25" style="2" customWidth="1"/>
    <col min="15874" max="15874" width="16.875" style="2" customWidth="1"/>
    <col min="15875" max="15875" width="21.125" style="2" customWidth="1"/>
    <col min="15876" max="15876" width="8.125" style="2" customWidth="1"/>
    <col min="15877" max="15877" width="17.75" style="2" customWidth="1"/>
    <col min="15878" max="15878" width="11.5" style="2" bestFit="1" customWidth="1"/>
    <col min="15879" max="15879" width="9" style="2"/>
    <col min="15880" max="15880" width="48.625" style="2" customWidth="1"/>
    <col min="15881" max="16127" width="9" style="2"/>
    <col min="16128" max="16128" width="3.375" style="2" bestFit="1" customWidth="1"/>
    <col min="16129" max="16129" width="21.25" style="2" customWidth="1"/>
    <col min="16130" max="16130" width="16.875" style="2" customWidth="1"/>
    <col min="16131" max="16131" width="21.125" style="2" customWidth="1"/>
    <col min="16132" max="16132" width="8.125" style="2" customWidth="1"/>
    <col min="16133" max="16133" width="17.75" style="2" customWidth="1"/>
    <col min="16134" max="16134" width="11.5" style="2" bestFit="1" customWidth="1"/>
    <col min="16135" max="16135" width="9" style="2"/>
    <col min="16136" max="16136" width="48.625" style="2" customWidth="1"/>
    <col min="16137" max="16384" width="9" style="2"/>
  </cols>
  <sheetData>
    <row r="1" spans="1:5" ht="32.25" customHeight="1" x14ac:dyDescent="0.2">
      <c r="A1" s="95" t="s">
        <v>246</v>
      </c>
      <c r="B1" s="95"/>
      <c r="C1" s="95"/>
      <c r="D1" s="95"/>
      <c r="E1" s="95"/>
    </row>
    <row r="2" spans="1:5" ht="28.5" x14ac:dyDescent="0.2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</row>
    <row r="3" spans="1:5" s="1" customFormat="1" outlineLevel="2" x14ac:dyDescent="0.2">
      <c r="A3" s="6" t="s">
        <v>5</v>
      </c>
      <c r="B3" s="7" t="s">
        <v>6</v>
      </c>
      <c r="C3" s="7" t="s">
        <v>7</v>
      </c>
      <c r="D3" s="7">
        <v>2</v>
      </c>
      <c r="E3" s="8">
        <f t="shared" ref="E3:E66" si="0">D3*6000</f>
        <v>12000</v>
      </c>
    </row>
    <row r="4" spans="1:5" s="11" customFormat="1" outlineLevel="1" x14ac:dyDescent="0.2">
      <c r="A4" s="9"/>
      <c r="B4" s="3" t="s">
        <v>8</v>
      </c>
      <c r="C4" s="3"/>
      <c r="D4" s="3">
        <f>SUBTOTAL(9,D3:D3)</f>
        <v>2</v>
      </c>
      <c r="E4" s="10">
        <f>SUBTOTAL(9,E3:E3)</f>
        <v>12000</v>
      </c>
    </row>
    <row r="5" spans="1:5" s="1" customFormat="1" outlineLevel="2" x14ac:dyDescent="0.2">
      <c r="A5" s="92" t="s">
        <v>9</v>
      </c>
      <c r="B5" s="12" t="s">
        <v>10</v>
      </c>
      <c r="C5" s="12" t="s">
        <v>10</v>
      </c>
      <c r="D5" s="12">
        <v>10</v>
      </c>
      <c r="E5" s="8">
        <f t="shared" si="0"/>
        <v>60000</v>
      </c>
    </row>
    <row r="6" spans="1:5" s="1" customFormat="1" outlineLevel="2" x14ac:dyDescent="0.2">
      <c r="A6" s="94"/>
      <c r="B6" s="12" t="s">
        <v>10</v>
      </c>
      <c r="C6" s="12" t="s">
        <v>11</v>
      </c>
      <c r="D6" s="12">
        <v>2</v>
      </c>
      <c r="E6" s="8">
        <f t="shared" si="0"/>
        <v>12000</v>
      </c>
    </row>
    <row r="7" spans="1:5" s="11" customFormat="1" outlineLevel="1" x14ac:dyDescent="0.2">
      <c r="A7" s="13"/>
      <c r="B7" s="3" t="s">
        <v>12</v>
      </c>
      <c r="C7" s="3"/>
      <c r="D7" s="3">
        <f>SUBTOTAL(9,D5:D6)</f>
        <v>12</v>
      </c>
      <c r="E7" s="10">
        <f>SUBTOTAL(9,E5:E6)</f>
        <v>72000</v>
      </c>
    </row>
    <row r="8" spans="1:5" s="1" customFormat="1" outlineLevel="2" x14ac:dyDescent="0.2">
      <c r="A8" s="92" t="s">
        <v>13</v>
      </c>
      <c r="B8" s="12" t="s">
        <v>14</v>
      </c>
      <c r="C8" s="12" t="s">
        <v>15</v>
      </c>
      <c r="D8" s="14">
        <f>10+2</f>
        <v>12</v>
      </c>
      <c r="E8" s="8">
        <f t="shared" si="0"/>
        <v>72000</v>
      </c>
    </row>
    <row r="9" spans="1:5" s="1" customFormat="1" outlineLevel="2" x14ac:dyDescent="0.2">
      <c r="A9" s="93"/>
      <c r="B9" s="12" t="s">
        <v>14</v>
      </c>
      <c r="C9" s="12" t="s">
        <v>16</v>
      </c>
      <c r="D9" s="12">
        <v>11</v>
      </c>
      <c r="E9" s="8">
        <f t="shared" si="0"/>
        <v>66000</v>
      </c>
    </row>
    <row r="10" spans="1:5" s="1" customFormat="1" outlineLevel="2" x14ac:dyDescent="0.2">
      <c r="A10" s="93"/>
      <c r="B10" s="12" t="s">
        <v>14</v>
      </c>
      <c r="C10" s="12" t="s">
        <v>17</v>
      </c>
      <c r="D10" s="14">
        <f>11+4</f>
        <v>15</v>
      </c>
      <c r="E10" s="8">
        <f t="shared" si="0"/>
        <v>90000</v>
      </c>
    </row>
    <row r="11" spans="1:5" s="1" customFormat="1" outlineLevel="2" x14ac:dyDescent="0.2">
      <c r="A11" s="94"/>
      <c r="B11" s="12" t="s">
        <v>14</v>
      </c>
      <c r="C11" s="12" t="s">
        <v>18</v>
      </c>
      <c r="D11" s="14">
        <v>2</v>
      </c>
      <c r="E11" s="8">
        <f t="shared" si="0"/>
        <v>12000</v>
      </c>
    </row>
    <row r="12" spans="1:5" s="11" customFormat="1" outlineLevel="1" x14ac:dyDescent="0.2">
      <c r="A12" s="13"/>
      <c r="B12" s="3" t="s">
        <v>19</v>
      </c>
      <c r="C12" s="3"/>
      <c r="D12" s="15">
        <f>SUBTOTAL(9,D8:D11)</f>
        <v>40</v>
      </c>
      <c r="E12" s="10">
        <f>SUBTOTAL(9,E8:E11)</f>
        <v>240000</v>
      </c>
    </row>
    <row r="13" spans="1:5" s="1" customFormat="1" outlineLevel="2" x14ac:dyDescent="0.2">
      <c r="A13" s="92" t="s">
        <v>20</v>
      </c>
      <c r="B13" s="12" t="s">
        <v>21</v>
      </c>
      <c r="C13" s="12" t="s">
        <v>22</v>
      </c>
      <c r="D13" s="14">
        <v>13</v>
      </c>
      <c r="E13" s="8">
        <f t="shared" si="0"/>
        <v>78000</v>
      </c>
    </row>
    <row r="14" spans="1:5" s="1" customFormat="1" outlineLevel="2" x14ac:dyDescent="0.2">
      <c r="A14" s="93"/>
      <c r="B14" s="12" t="s">
        <v>21</v>
      </c>
      <c r="C14" s="12" t="s">
        <v>23</v>
      </c>
      <c r="D14" s="12">
        <v>1</v>
      </c>
      <c r="E14" s="8">
        <f t="shared" si="0"/>
        <v>6000</v>
      </c>
    </row>
    <row r="15" spans="1:5" s="1" customFormat="1" outlineLevel="2" x14ac:dyDescent="0.2">
      <c r="A15" s="93"/>
      <c r="B15" s="14" t="s">
        <v>21</v>
      </c>
      <c r="C15" s="14" t="s">
        <v>21</v>
      </c>
      <c r="D15" s="12">
        <f>3+2</f>
        <v>5</v>
      </c>
      <c r="E15" s="8">
        <f t="shared" si="0"/>
        <v>30000</v>
      </c>
    </row>
    <row r="16" spans="1:5" s="1" customFormat="1" ht="15" outlineLevel="2" x14ac:dyDescent="0.25">
      <c r="A16" s="93"/>
      <c r="B16" s="7" t="s">
        <v>21</v>
      </c>
      <c r="C16" s="16" t="s">
        <v>24</v>
      </c>
      <c r="D16" s="7">
        <v>1</v>
      </c>
      <c r="E16" s="8">
        <f t="shared" si="0"/>
        <v>6000</v>
      </c>
    </row>
    <row r="17" spans="1:5" s="1" customFormat="1" outlineLevel="2" x14ac:dyDescent="0.2">
      <c r="A17" s="93"/>
      <c r="B17" s="12" t="s">
        <v>21</v>
      </c>
      <c r="C17" s="17" t="s">
        <v>25</v>
      </c>
      <c r="D17" s="12">
        <v>14</v>
      </c>
      <c r="E17" s="8">
        <f t="shared" si="0"/>
        <v>84000</v>
      </c>
    </row>
    <row r="18" spans="1:5" s="1" customFormat="1" outlineLevel="2" x14ac:dyDescent="0.2">
      <c r="A18" s="93"/>
      <c r="B18" s="12" t="s">
        <v>21</v>
      </c>
      <c r="C18" s="18" t="s">
        <v>26</v>
      </c>
      <c r="D18" s="12">
        <f>4+3</f>
        <v>7</v>
      </c>
      <c r="E18" s="8">
        <f t="shared" si="0"/>
        <v>42000</v>
      </c>
    </row>
    <row r="19" spans="1:5" s="1" customFormat="1" outlineLevel="2" x14ac:dyDescent="0.2">
      <c r="A19" s="93"/>
      <c r="B19" s="12" t="s">
        <v>21</v>
      </c>
      <c r="C19" s="12" t="s">
        <v>27</v>
      </c>
      <c r="D19" s="14">
        <f>20+3</f>
        <v>23</v>
      </c>
      <c r="E19" s="8">
        <f t="shared" si="0"/>
        <v>138000</v>
      </c>
    </row>
    <row r="20" spans="1:5" s="1" customFormat="1" outlineLevel="2" x14ac:dyDescent="0.2">
      <c r="A20" s="94"/>
      <c r="B20" s="12" t="s">
        <v>21</v>
      </c>
      <c r="C20" s="12" t="s">
        <v>28</v>
      </c>
      <c r="D20" s="14">
        <f>23+1</f>
        <v>24</v>
      </c>
      <c r="E20" s="8">
        <f t="shared" si="0"/>
        <v>144000</v>
      </c>
    </row>
    <row r="21" spans="1:5" s="11" customFormat="1" outlineLevel="1" x14ac:dyDescent="0.2">
      <c r="A21" s="13"/>
      <c r="B21" s="3" t="s">
        <v>29</v>
      </c>
      <c r="C21" s="3"/>
      <c r="D21" s="15">
        <f>SUBTOTAL(9,D13:D20)</f>
        <v>88</v>
      </c>
      <c r="E21" s="10">
        <f>SUBTOTAL(9,E13:E20)</f>
        <v>528000</v>
      </c>
    </row>
    <row r="22" spans="1:5" s="1" customFormat="1" outlineLevel="2" x14ac:dyDescent="0.2">
      <c r="A22" s="92" t="s">
        <v>30</v>
      </c>
      <c r="B22" s="12" t="s">
        <v>31</v>
      </c>
      <c r="C22" s="12" t="s">
        <v>32</v>
      </c>
      <c r="D22" s="14">
        <f>10+7</f>
        <v>17</v>
      </c>
      <c r="E22" s="8">
        <f t="shared" si="0"/>
        <v>102000</v>
      </c>
    </row>
    <row r="23" spans="1:5" s="1" customFormat="1" outlineLevel="2" x14ac:dyDescent="0.2">
      <c r="A23" s="93"/>
      <c r="B23" s="18" t="s">
        <v>31</v>
      </c>
      <c r="C23" s="18" t="s">
        <v>33</v>
      </c>
      <c r="D23" s="14">
        <v>2</v>
      </c>
      <c r="E23" s="8">
        <f t="shared" si="0"/>
        <v>12000</v>
      </c>
    </row>
    <row r="24" spans="1:5" s="1" customFormat="1" outlineLevel="2" x14ac:dyDescent="0.2">
      <c r="A24" s="93"/>
      <c r="B24" s="14" t="s">
        <v>31</v>
      </c>
      <c r="C24" s="14" t="s">
        <v>34</v>
      </c>
      <c r="D24" s="14">
        <v>2</v>
      </c>
      <c r="E24" s="8">
        <f t="shared" si="0"/>
        <v>12000</v>
      </c>
    </row>
    <row r="25" spans="1:5" s="1" customFormat="1" outlineLevel="2" x14ac:dyDescent="0.2">
      <c r="A25" s="93"/>
      <c r="B25" s="12" t="s">
        <v>31</v>
      </c>
      <c r="C25" s="15" t="s">
        <v>35</v>
      </c>
      <c r="D25" s="14">
        <v>1</v>
      </c>
      <c r="E25" s="8">
        <f t="shared" si="0"/>
        <v>6000</v>
      </c>
    </row>
    <row r="26" spans="1:5" s="1" customFormat="1" outlineLevel="2" x14ac:dyDescent="0.2">
      <c r="A26" s="93"/>
      <c r="B26" s="12" t="s">
        <v>31</v>
      </c>
      <c r="C26" s="14" t="s">
        <v>36</v>
      </c>
      <c r="D26" s="14">
        <v>1</v>
      </c>
      <c r="E26" s="8">
        <f t="shared" si="0"/>
        <v>6000</v>
      </c>
    </row>
    <row r="27" spans="1:5" s="1" customFormat="1" outlineLevel="2" x14ac:dyDescent="0.2">
      <c r="A27" s="93"/>
      <c r="B27" s="12" t="s">
        <v>31</v>
      </c>
      <c r="C27" s="14" t="s">
        <v>37</v>
      </c>
      <c r="D27" s="14">
        <v>2</v>
      </c>
      <c r="E27" s="8">
        <f t="shared" si="0"/>
        <v>12000</v>
      </c>
    </row>
    <row r="28" spans="1:5" s="1" customFormat="1" outlineLevel="2" x14ac:dyDescent="0.2">
      <c r="A28" s="94"/>
      <c r="B28" s="18" t="s">
        <v>31</v>
      </c>
      <c r="C28" s="18" t="s">
        <v>38</v>
      </c>
      <c r="D28" s="18">
        <v>1</v>
      </c>
      <c r="E28" s="8">
        <f t="shared" si="0"/>
        <v>6000</v>
      </c>
    </row>
    <row r="29" spans="1:5" s="11" customFormat="1" outlineLevel="1" x14ac:dyDescent="0.2">
      <c r="A29" s="13"/>
      <c r="B29" s="19" t="s">
        <v>39</v>
      </c>
      <c r="C29" s="19"/>
      <c r="D29" s="19">
        <f>SUBTOTAL(9,D22:D28)</f>
        <v>26</v>
      </c>
      <c r="E29" s="10">
        <f>SUBTOTAL(9,E22:E28)</f>
        <v>156000</v>
      </c>
    </row>
    <row r="30" spans="1:5" s="1" customFormat="1" outlineLevel="2" x14ac:dyDescent="0.2">
      <c r="A30" s="92" t="s">
        <v>40</v>
      </c>
      <c r="B30" s="12" t="s">
        <v>41</v>
      </c>
      <c r="C30" s="12" t="s">
        <v>42</v>
      </c>
      <c r="D30" s="12">
        <v>1</v>
      </c>
      <c r="E30" s="8">
        <f t="shared" si="0"/>
        <v>6000</v>
      </c>
    </row>
    <row r="31" spans="1:5" s="1" customFormat="1" outlineLevel="2" x14ac:dyDescent="0.2">
      <c r="A31" s="93"/>
      <c r="B31" s="12" t="s">
        <v>41</v>
      </c>
      <c r="C31" s="12" t="s">
        <v>43</v>
      </c>
      <c r="D31" s="18">
        <f>26+4</f>
        <v>30</v>
      </c>
      <c r="E31" s="8">
        <f t="shared" si="0"/>
        <v>180000</v>
      </c>
    </row>
    <row r="32" spans="1:5" s="1" customFormat="1" outlineLevel="2" x14ac:dyDescent="0.2">
      <c r="A32" s="93"/>
      <c r="B32" s="12" t="s">
        <v>41</v>
      </c>
      <c r="C32" s="12" t="s">
        <v>43</v>
      </c>
      <c r="D32" s="18">
        <v>152</v>
      </c>
      <c r="E32" s="8">
        <f t="shared" si="0"/>
        <v>912000</v>
      </c>
    </row>
    <row r="33" spans="1:5" s="1" customFormat="1" outlineLevel="2" x14ac:dyDescent="0.2">
      <c r="A33" s="93"/>
      <c r="B33" s="12" t="s">
        <v>41</v>
      </c>
      <c r="C33" s="12" t="s">
        <v>44</v>
      </c>
      <c r="D33" s="12">
        <v>2</v>
      </c>
      <c r="E33" s="8">
        <f t="shared" si="0"/>
        <v>12000</v>
      </c>
    </row>
    <row r="34" spans="1:5" s="1" customFormat="1" outlineLevel="2" x14ac:dyDescent="0.2">
      <c r="A34" s="93"/>
      <c r="B34" s="12" t="s">
        <v>41</v>
      </c>
      <c r="C34" s="12" t="s">
        <v>45</v>
      </c>
      <c r="D34" s="12">
        <f>4+2</f>
        <v>6</v>
      </c>
      <c r="E34" s="8">
        <f t="shared" si="0"/>
        <v>36000</v>
      </c>
    </row>
    <row r="35" spans="1:5" s="1" customFormat="1" outlineLevel="2" x14ac:dyDescent="0.2">
      <c r="A35" s="93"/>
      <c r="B35" s="12" t="s">
        <v>41</v>
      </c>
      <c r="C35" s="12" t="s">
        <v>46</v>
      </c>
      <c r="D35" s="12">
        <f>350+8</f>
        <v>358</v>
      </c>
      <c r="E35" s="8">
        <f t="shared" si="0"/>
        <v>2148000</v>
      </c>
    </row>
    <row r="36" spans="1:5" s="1" customFormat="1" outlineLevel="2" x14ac:dyDescent="0.2">
      <c r="A36" s="93"/>
      <c r="B36" s="12" t="s">
        <v>41</v>
      </c>
      <c r="C36" s="12" t="s">
        <v>47</v>
      </c>
      <c r="D36" s="12">
        <v>5</v>
      </c>
      <c r="E36" s="8">
        <f t="shared" si="0"/>
        <v>30000</v>
      </c>
    </row>
    <row r="37" spans="1:5" s="1" customFormat="1" outlineLevel="2" x14ac:dyDescent="0.2">
      <c r="A37" s="93"/>
      <c r="B37" s="12" t="s">
        <v>41</v>
      </c>
      <c r="C37" s="12" t="s">
        <v>48</v>
      </c>
      <c r="D37" s="12">
        <f>1+1</f>
        <v>2</v>
      </c>
      <c r="E37" s="8">
        <f t="shared" si="0"/>
        <v>12000</v>
      </c>
    </row>
    <row r="38" spans="1:5" s="1" customFormat="1" outlineLevel="2" x14ac:dyDescent="0.2">
      <c r="A38" s="93"/>
      <c r="B38" s="12" t="s">
        <v>41</v>
      </c>
      <c r="C38" s="12" t="s">
        <v>49</v>
      </c>
      <c r="D38" s="12">
        <f>3+2</f>
        <v>5</v>
      </c>
      <c r="E38" s="8">
        <f t="shared" si="0"/>
        <v>30000</v>
      </c>
    </row>
    <row r="39" spans="1:5" s="1" customFormat="1" outlineLevel="2" x14ac:dyDescent="0.2">
      <c r="A39" s="93"/>
      <c r="B39" s="12" t="s">
        <v>41</v>
      </c>
      <c r="C39" s="12" t="s">
        <v>50</v>
      </c>
      <c r="D39" s="12">
        <f>42+2</f>
        <v>44</v>
      </c>
      <c r="E39" s="8">
        <f t="shared" si="0"/>
        <v>264000</v>
      </c>
    </row>
    <row r="40" spans="1:5" s="1" customFormat="1" outlineLevel="2" x14ac:dyDescent="0.2">
      <c r="A40" s="93"/>
      <c r="B40" s="12" t="s">
        <v>41</v>
      </c>
      <c r="C40" s="12" t="s">
        <v>51</v>
      </c>
      <c r="D40" s="12">
        <f>9+1</f>
        <v>10</v>
      </c>
      <c r="E40" s="8">
        <f t="shared" si="0"/>
        <v>60000</v>
      </c>
    </row>
    <row r="41" spans="1:5" s="1" customFormat="1" outlineLevel="2" x14ac:dyDescent="0.2">
      <c r="A41" s="93"/>
      <c r="B41" s="12" t="s">
        <v>41</v>
      </c>
      <c r="C41" s="12" t="s">
        <v>52</v>
      </c>
      <c r="D41" s="12">
        <v>2</v>
      </c>
      <c r="E41" s="8">
        <f t="shared" si="0"/>
        <v>12000</v>
      </c>
    </row>
    <row r="42" spans="1:5" s="1" customFormat="1" outlineLevel="2" x14ac:dyDescent="0.2">
      <c r="A42" s="93"/>
      <c r="B42" s="12" t="s">
        <v>41</v>
      </c>
      <c r="C42" s="12" t="s">
        <v>53</v>
      </c>
      <c r="D42" s="12">
        <v>2</v>
      </c>
      <c r="E42" s="8">
        <f t="shared" si="0"/>
        <v>12000</v>
      </c>
    </row>
    <row r="43" spans="1:5" s="1" customFormat="1" outlineLevel="2" x14ac:dyDescent="0.2">
      <c r="A43" s="93"/>
      <c r="B43" s="12" t="s">
        <v>41</v>
      </c>
      <c r="C43" s="12" t="s">
        <v>54</v>
      </c>
      <c r="D43" s="12">
        <v>3</v>
      </c>
      <c r="E43" s="8">
        <f t="shared" si="0"/>
        <v>18000</v>
      </c>
    </row>
    <row r="44" spans="1:5" s="1" customFormat="1" outlineLevel="2" x14ac:dyDescent="0.2">
      <c r="A44" s="93"/>
      <c r="B44" s="12" t="s">
        <v>41</v>
      </c>
      <c r="C44" s="12" t="s">
        <v>55</v>
      </c>
      <c r="D44" s="12">
        <v>3</v>
      </c>
      <c r="E44" s="8">
        <f t="shared" si="0"/>
        <v>18000</v>
      </c>
    </row>
    <row r="45" spans="1:5" s="1" customFormat="1" outlineLevel="2" x14ac:dyDescent="0.2">
      <c r="A45" s="93"/>
      <c r="B45" s="7" t="s">
        <v>41</v>
      </c>
      <c r="C45" s="7" t="s">
        <v>56</v>
      </c>
      <c r="D45" s="7">
        <v>1</v>
      </c>
      <c r="E45" s="8">
        <f t="shared" si="0"/>
        <v>6000</v>
      </c>
    </row>
    <row r="46" spans="1:5" s="1" customFormat="1" outlineLevel="2" x14ac:dyDescent="0.2">
      <c r="A46" s="94"/>
      <c r="B46" s="7" t="s">
        <v>41</v>
      </c>
      <c r="C46" s="7" t="s">
        <v>57</v>
      </c>
      <c r="D46" s="7">
        <v>1</v>
      </c>
      <c r="E46" s="8">
        <f t="shared" si="0"/>
        <v>6000</v>
      </c>
    </row>
    <row r="47" spans="1:5" s="11" customFormat="1" outlineLevel="1" x14ac:dyDescent="0.2">
      <c r="A47" s="13"/>
      <c r="B47" s="3" t="s">
        <v>58</v>
      </c>
      <c r="C47" s="3"/>
      <c r="D47" s="3">
        <f>SUBTOTAL(9,D30:D46)</f>
        <v>627</v>
      </c>
      <c r="E47" s="10">
        <f>SUBTOTAL(9,E30:E46)</f>
        <v>3762000</v>
      </c>
    </row>
    <row r="48" spans="1:5" s="1" customFormat="1" outlineLevel="2" x14ac:dyDescent="0.2">
      <c r="A48" s="92" t="s">
        <v>59</v>
      </c>
      <c r="B48" s="12" t="s">
        <v>60</v>
      </c>
      <c r="C48" s="12" t="s">
        <v>61</v>
      </c>
      <c r="D48" s="12">
        <v>4</v>
      </c>
      <c r="E48" s="8">
        <f t="shared" si="0"/>
        <v>24000</v>
      </c>
    </row>
    <row r="49" spans="1:5" s="1" customFormat="1" outlineLevel="2" x14ac:dyDescent="0.2">
      <c r="A49" s="94"/>
      <c r="B49" s="12" t="s">
        <v>60</v>
      </c>
      <c r="C49" s="12" t="s">
        <v>62</v>
      </c>
      <c r="D49" s="12">
        <v>1</v>
      </c>
      <c r="E49" s="8">
        <f t="shared" si="0"/>
        <v>6000</v>
      </c>
    </row>
    <row r="50" spans="1:5" s="11" customFormat="1" outlineLevel="1" x14ac:dyDescent="0.2">
      <c r="A50" s="13"/>
      <c r="B50" s="3" t="s">
        <v>63</v>
      </c>
      <c r="C50" s="3"/>
      <c r="D50" s="3">
        <f>SUBTOTAL(9,D48:D49)</f>
        <v>5</v>
      </c>
      <c r="E50" s="10">
        <f>SUBTOTAL(9,E48:E49)</f>
        <v>30000</v>
      </c>
    </row>
    <row r="51" spans="1:5" s="1" customFormat="1" outlineLevel="2" x14ac:dyDescent="0.2">
      <c r="A51" s="92" t="s">
        <v>64</v>
      </c>
      <c r="B51" s="12" t="s">
        <v>65</v>
      </c>
      <c r="C51" s="12" t="s">
        <v>66</v>
      </c>
      <c r="D51" s="12">
        <v>1</v>
      </c>
      <c r="E51" s="8">
        <f t="shared" si="0"/>
        <v>6000</v>
      </c>
    </row>
    <row r="52" spans="1:5" s="1" customFormat="1" outlineLevel="2" x14ac:dyDescent="0.2">
      <c r="A52" s="93"/>
      <c r="B52" s="12" t="s">
        <v>65</v>
      </c>
      <c r="C52" s="12" t="s">
        <v>67</v>
      </c>
      <c r="D52" s="12">
        <v>6</v>
      </c>
      <c r="E52" s="8">
        <f t="shared" si="0"/>
        <v>36000</v>
      </c>
    </row>
    <row r="53" spans="1:5" s="1" customFormat="1" outlineLevel="2" x14ac:dyDescent="0.2">
      <c r="A53" s="93"/>
      <c r="B53" s="12" t="s">
        <v>65</v>
      </c>
      <c r="C53" s="12" t="s">
        <v>68</v>
      </c>
      <c r="D53" s="12">
        <v>4</v>
      </c>
      <c r="E53" s="8">
        <f t="shared" si="0"/>
        <v>24000</v>
      </c>
    </row>
    <row r="54" spans="1:5" s="1" customFormat="1" outlineLevel="2" x14ac:dyDescent="0.2">
      <c r="A54" s="93"/>
      <c r="B54" s="12" t="s">
        <v>65</v>
      </c>
      <c r="C54" s="12" t="s">
        <v>69</v>
      </c>
      <c r="D54" s="12">
        <v>2</v>
      </c>
      <c r="E54" s="8">
        <f t="shared" si="0"/>
        <v>12000</v>
      </c>
    </row>
    <row r="55" spans="1:5" s="1" customFormat="1" outlineLevel="2" x14ac:dyDescent="0.2">
      <c r="A55" s="94"/>
      <c r="B55" s="7" t="s">
        <v>65</v>
      </c>
      <c r="C55" s="7" t="s">
        <v>70</v>
      </c>
      <c r="D55" s="7">
        <v>2</v>
      </c>
      <c r="E55" s="8">
        <f t="shared" si="0"/>
        <v>12000</v>
      </c>
    </row>
    <row r="56" spans="1:5" s="11" customFormat="1" outlineLevel="1" x14ac:dyDescent="0.2">
      <c r="A56" s="13"/>
      <c r="B56" s="3" t="s">
        <v>71</v>
      </c>
      <c r="C56" s="3"/>
      <c r="D56" s="3">
        <f>SUBTOTAL(9,D51:D55)</f>
        <v>15</v>
      </c>
      <c r="E56" s="10">
        <f>SUBTOTAL(9,E51:E55)</f>
        <v>90000</v>
      </c>
    </row>
    <row r="57" spans="1:5" s="1" customFormat="1" outlineLevel="2" x14ac:dyDescent="0.2">
      <c r="A57" s="92" t="s">
        <v>72</v>
      </c>
      <c r="B57" s="12" t="s">
        <v>73</v>
      </c>
      <c r="C57" s="12" t="s">
        <v>74</v>
      </c>
      <c r="D57" s="12">
        <v>22</v>
      </c>
      <c r="E57" s="8">
        <f t="shared" si="0"/>
        <v>132000</v>
      </c>
    </row>
    <row r="58" spans="1:5" s="1" customFormat="1" outlineLevel="2" x14ac:dyDescent="0.2">
      <c r="A58" s="93"/>
      <c r="B58" s="12" t="s">
        <v>73</v>
      </c>
      <c r="C58" s="12" t="s">
        <v>75</v>
      </c>
      <c r="D58" s="12">
        <v>3</v>
      </c>
      <c r="E58" s="8">
        <f t="shared" si="0"/>
        <v>18000</v>
      </c>
    </row>
    <row r="59" spans="1:5" s="1" customFormat="1" outlineLevel="2" x14ac:dyDescent="0.2">
      <c r="A59" s="94"/>
      <c r="B59" s="12" t="s">
        <v>73</v>
      </c>
      <c r="C59" s="12" t="s">
        <v>76</v>
      </c>
      <c r="D59" s="12">
        <v>7</v>
      </c>
      <c r="E59" s="8">
        <f t="shared" si="0"/>
        <v>42000</v>
      </c>
    </row>
    <row r="60" spans="1:5" s="11" customFormat="1" outlineLevel="1" x14ac:dyDescent="0.2">
      <c r="A60" s="20"/>
      <c r="B60" s="3" t="s">
        <v>77</v>
      </c>
      <c r="C60" s="3"/>
      <c r="D60" s="3">
        <f>SUBTOTAL(9,D57:D59)</f>
        <v>32</v>
      </c>
      <c r="E60" s="10">
        <f>SUBTOTAL(9,E57:E59)</f>
        <v>192000</v>
      </c>
    </row>
    <row r="61" spans="1:5" s="1" customFormat="1" outlineLevel="2" x14ac:dyDescent="0.2">
      <c r="A61" s="6" t="s">
        <v>78</v>
      </c>
      <c r="B61" s="12" t="s">
        <v>79</v>
      </c>
      <c r="C61" s="12" t="s">
        <v>80</v>
      </c>
      <c r="D61" s="12">
        <v>32</v>
      </c>
      <c r="E61" s="8">
        <f t="shared" si="0"/>
        <v>192000</v>
      </c>
    </row>
    <row r="62" spans="1:5" s="11" customFormat="1" outlineLevel="1" x14ac:dyDescent="0.2">
      <c r="A62" s="9"/>
      <c r="B62" s="3" t="s">
        <v>81</v>
      </c>
      <c r="C62" s="3"/>
      <c r="D62" s="3">
        <f>SUBTOTAL(9,D61:D61)</f>
        <v>32</v>
      </c>
      <c r="E62" s="10">
        <f>SUBTOTAL(9,E61:E61)</f>
        <v>192000</v>
      </c>
    </row>
    <row r="63" spans="1:5" s="1" customFormat="1" outlineLevel="2" x14ac:dyDescent="0.2">
      <c r="A63" s="92" t="s">
        <v>82</v>
      </c>
      <c r="B63" s="12" t="s">
        <v>83</v>
      </c>
      <c r="C63" s="12" t="s">
        <v>84</v>
      </c>
      <c r="D63" s="12">
        <f>6+1</f>
        <v>7</v>
      </c>
      <c r="E63" s="8">
        <f t="shared" si="0"/>
        <v>42000</v>
      </c>
    </row>
    <row r="64" spans="1:5" s="1" customFormat="1" outlineLevel="2" x14ac:dyDescent="0.2">
      <c r="A64" s="94"/>
      <c r="B64" s="12" t="s">
        <v>83</v>
      </c>
      <c r="C64" s="12" t="s">
        <v>85</v>
      </c>
      <c r="D64" s="12">
        <v>8</v>
      </c>
      <c r="E64" s="8">
        <f t="shared" si="0"/>
        <v>48000</v>
      </c>
    </row>
    <row r="65" spans="1:5" s="11" customFormat="1" outlineLevel="1" x14ac:dyDescent="0.2">
      <c r="A65" s="13"/>
      <c r="B65" s="3" t="s">
        <v>86</v>
      </c>
      <c r="C65" s="3"/>
      <c r="D65" s="3">
        <f>SUBTOTAL(9,D63:D64)</f>
        <v>15</v>
      </c>
      <c r="E65" s="10">
        <f>SUBTOTAL(9,E63:E64)</f>
        <v>90000</v>
      </c>
    </row>
    <row r="66" spans="1:5" s="1" customFormat="1" outlineLevel="2" x14ac:dyDescent="0.2">
      <c r="A66" s="92" t="s">
        <v>87</v>
      </c>
      <c r="B66" s="7" t="s">
        <v>88</v>
      </c>
      <c r="C66" s="7" t="s">
        <v>89</v>
      </c>
      <c r="D66" s="7">
        <v>1</v>
      </c>
      <c r="E66" s="8">
        <f t="shared" si="0"/>
        <v>6000</v>
      </c>
    </row>
    <row r="67" spans="1:5" s="1" customFormat="1" outlineLevel="2" x14ac:dyDescent="0.2">
      <c r="A67" s="93"/>
      <c r="B67" s="7" t="s">
        <v>88</v>
      </c>
      <c r="C67" s="7" t="s">
        <v>90</v>
      </c>
      <c r="D67" s="7">
        <v>2</v>
      </c>
      <c r="E67" s="8">
        <f t="shared" ref="E67:E117" si="1">D67*6000</f>
        <v>12000</v>
      </c>
    </row>
    <row r="68" spans="1:5" s="1" customFormat="1" outlineLevel="2" x14ac:dyDescent="0.2">
      <c r="A68" s="94"/>
      <c r="B68" s="7" t="s">
        <v>88</v>
      </c>
      <c r="C68" s="7" t="s">
        <v>91</v>
      </c>
      <c r="D68" s="7">
        <v>1</v>
      </c>
      <c r="E68" s="8">
        <f t="shared" si="1"/>
        <v>6000</v>
      </c>
    </row>
    <row r="69" spans="1:5" s="11" customFormat="1" outlineLevel="1" x14ac:dyDescent="0.2">
      <c r="A69" s="13"/>
      <c r="B69" s="3" t="s">
        <v>92</v>
      </c>
      <c r="C69" s="3"/>
      <c r="D69" s="3">
        <f>SUBTOTAL(9,D66:D68)</f>
        <v>4</v>
      </c>
      <c r="E69" s="10">
        <f>SUBTOTAL(9,E66:E68)</f>
        <v>24000</v>
      </c>
    </row>
    <row r="70" spans="1:5" s="1" customFormat="1" outlineLevel="2" x14ac:dyDescent="0.2">
      <c r="A70" s="92" t="s">
        <v>93</v>
      </c>
      <c r="B70" s="12" t="s">
        <v>94</v>
      </c>
      <c r="C70" s="12" t="s">
        <v>95</v>
      </c>
      <c r="D70" s="12">
        <f>15+5</f>
        <v>20</v>
      </c>
      <c r="E70" s="8">
        <f t="shared" si="1"/>
        <v>120000</v>
      </c>
    </row>
    <row r="71" spans="1:5" s="1" customFormat="1" outlineLevel="2" x14ac:dyDescent="0.2">
      <c r="A71" s="93"/>
      <c r="B71" s="12" t="s">
        <v>94</v>
      </c>
      <c r="C71" s="12" t="s">
        <v>96</v>
      </c>
      <c r="D71" s="12">
        <f>5+1</f>
        <v>6</v>
      </c>
      <c r="E71" s="8">
        <f t="shared" si="1"/>
        <v>36000</v>
      </c>
    </row>
    <row r="72" spans="1:5" s="1" customFormat="1" outlineLevel="2" x14ac:dyDescent="0.2">
      <c r="A72" s="94"/>
      <c r="B72" s="7" t="s">
        <v>94</v>
      </c>
      <c r="C72" s="7" t="s">
        <v>97</v>
      </c>
      <c r="D72" s="7">
        <v>1</v>
      </c>
      <c r="E72" s="8">
        <f t="shared" si="1"/>
        <v>6000</v>
      </c>
    </row>
    <row r="73" spans="1:5" s="11" customFormat="1" outlineLevel="1" x14ac:dyDescent="0.2">
      <c r="A73" s="20"/>
      <c r="B73" s="3" t="s">
        <v>98</v>
      </c>
      <c r="C73" s="3"/>
      <c r="D73" s="3">
        <f>SUBTOTAL(9,D70:D72)</f>
        <v>27</v>
      </c>
      <c r="E73" s="10">
        <f>SUBTOTAL(9,E70:E72)</f>
        <v>162000</v>
      </c>
    </row>
    <row r="74" spans="1:5" s="1" customFormat="1" outlineLevel="2" x14ac:dyDescent="0.2">
      <c r="A74" s="6" t="s">
        <v>99</v>
      </c>
      <c r="B74" s="7" t="s">
        <v>100</v>
      </c>
      <c r="C74" s="7" t="s">
        <v>101</v>
      </c>
      <c r="D74" s="7">
        <v>1</v>
      </c>
      <c r="E74" s="8">
        <f t="shared" si="1"/>
        <v>6000</v>
      </c>
    </row>
    <row r="75" spans="1:5" s="11" customFormat="1" outlineLevel="1" x14ac:dyDescent="0.2">
      <c r="A75" s="9"/>
      <c r="B75" s="3" t="s">
        <v>102</v>
      </c>
      <c r="C75" s="3"/>
      <c r="D75" s="3">
        <f>SUBTOTAL(9,D74:D74)</f>
        <v>1</v>
      </c>
      <c r="E75" s="10">
        <f>SUBTOTAL(9,E74:E74)</f>
        <v>6000</v>
      </c>
    </row>
    <row r="76" spans="1:5" s="1" customFormat="1" outlineLevel="2" x14ac:dyDescent="0.2">
      <c r="A76" s="92" t="s">
        <v>103</v>
      </c>
      <c r="B76" s="7" t="s">
        <v>104</v>
      </c>
      <c r="C76" s="7" t="s">
        <v>105</v>
      </c>
      <c r="D76" s="7">
        <v>3</v>
      </c>
      <c r="E76" s="8">
        <f t="shared" si="1"/>
        <v>18000</v>
      </c>
    </row>
    <row r="77" spans="1:5" s="1" customFormat="1" outlineLevel="2" x14ac:dyDescent="0.2">
      <c r="A77" s="93"/>
      <c r="B77" s="7" t="s">
        <v>104</v>
      </c>
      <c r="C77" s="7" t="s">
        <v>106</v>
      </c>
      <c r="D77" s="7">
        <v>1</v>
      </c>
      <c r="E77" s="8">
        <f t="shared" si="1"/>
        <v>6000</v>
      </c>
    </row>
    <row r="78" spans="1:5" s="1" customFormat="1" outlineLevel="2" x14ac:dyDescent="0.2">
      <c r="A78" s="93"/>
      <c r="B78" s="7" t="s">
        <v>104</v>
      </c>
      <c r="C78" s="7" t="s">
        <v>107</v>
      </c>
      <c r="D78" s="7">
        <v>1</v>
      </c>
      <c r="E78" s="8">
        <f t="shared" si="1"/>
        <v>6000</v>
      </c>
    </row>
    <row r="79" spans="1:5" s="1" customFormat="1" outlineLevel="2" x14ac:dyDescent="0.2">
      <c r="A79" s="93"/>
      <c r="B79" s="7" t="s">
        <v>104</v>
      </c>
      <c r="C79" s="7" t="s">
        <v>108</v>
      </c>
      <c r="D79" s="7">
        <v>5</v>
      </c>
      <c r="E79" s="8">
        <f t="shared" si="1"/>
        <v>30000</v>
      </c>
    </row>
    <row r="80" spans="1:5" s="1" customFormat="1" outlineLevel="2" x14ac:dyDescent="0.2">
      <c r="A80" s="93"/>
      <c r="B80" s="7" t="s">
        <v>104</v>
      </c>
      <c r="C80" s="7" t="s">
        <v>109</v>
      </c>
      <c r="D80" s="7">
        <v>1</v>
      </c>
      <c r="E80" s="8">
        <f t="shared" si="1"/>
        <v>6000</v>
      </c>
    </row>
    <row r="81" spans="1:5" s="1" customFormat="1" outlineLevel="2" x14ac:dyDescent="0.2">
      <c r="A81" s="93"/>
      <c r="B81" s="7" t="s">
        <v>104</v>
      </c>
      <c r="C81" s="7" t="s">
        <v>110</v>
      </c>
      <c r="D81" s="7">
        <v>2</v>
      </c>
      <c r="E81" s="8">
        <f t="shared" si="1"/>
        <v>12000</v>
      </c>
    </row>
    <row r="82" spans="1:5" s="1" customFormat="1" outlineLevel="2" x14ac:dyDescent="0.2">
      <c r="A82" s="93"/>
      <c r="B82" s="7" t="s">
        <v>104</v>
      </c>
      <c r="C82" s="7" t="s">
        <v>111</v>
      </c>
      <c r="D82" s="7">
        <v>1</v>
      </c>
      <c r="E82" s="8">
        <f t="shared" si="1"/>
        <v>6000</v>
      </c>
    </row>
    <row r="83" spans="1:5" s="1" customFormat="1" outlineLevel="2" x14ac:dyDescent="0.2">
      <c r="A83" s="93"/>
      <c r="B83" s="7" t="s">
        <v>104</v>
      </c>
      <c r="C83" s="7" t="s">
        <v>112</v>
      </c>
      <c r="D83" s="7">
        <v>1</v>
      </c>
      <c r="E83" s="8">
        <f t="shared" si="1"/>
        <v>6000</v>
      </c>
    </row>
    <row r="84" spans="1:5" s="1" customFormat="1" outlineLevel="2" x14ac:dyDescent="0.2">
      <c r="A84" s="93"/>
      <c r="B84" s="7" t="s">
        <v>104</v>
      </c>
      <c r="C84" s="7" t="s">
        <v>113</v>
      </c>
      <c r="D84" s="7">
        <v>1</v>
      </c>
      <c r="E84" s="8">
        <f t="shared" si="1"/>
        <v>6000</v>
      </c>
    </row>
    <row r="85" spans="1:5" s="1" customFormat="1" ht="13.5" customHeight="1" outlineLevel="2" x14ac:dyDescent="0.2">
      <c r="A85" s="93"/>
      <c r="B85" s="12" t="s">
        <v>114</v>
      </c>
      <c r="C85" s="12" t="s">
        <v>109</v>
      </c>
      <c r="D85" s="12">
        <v>1</v>
      </c>
      <c r="E85" s="8">
        <f t="shared" si="1"/>
        <v>6000</v>
      </c>
    </row>
    <row r="86" spans="1:5" s="1" customFormat="1" ht="13.5" customHeight="1" outlineLevel="2" x14ac:dyDescent="0.2">
      <c r="A86" s="93"/>
      <c r="B86" s="12" t="s">
        <v>114</v>
      </c>
      <c r="C86" s="12" t="s">
        <v>115</v>
      </c>
      <c r="D86" s="12">
        <f>42+8</f>
        <v>50</v>
      </c>
      <c r="E86" s="8">
        <f t="shared" si="1"/>
        <v>300000</v>
      </c>
    </row>
    <row r="87" spans="1:5" s="1" customFormat="1" ht="13.5" customHeight="1" outlineLevel="2" x14ac:dyDescent="0.2">
      <c r="A87" s="93"/>
      <c r="B87" s="12" t="s">
        <v>114</v>
      </c>
      <c r="C87" s="12" t="s">
        <v>116</v>
      </c>
      <c r="D87" s="12">
        <f>6+21</f>
        <v>27</v>
      </c>
      <c r="E87" s="8">
        <f t="shared" si="1"/>
        <v>162000</v>
      </c>
    </row>
    <row r="88" spans="1:5" s="1" customFormat="1" ht="13.5" customHeight="1" outlineLevel="2" x14ac:dyDescent="0.2">
      <c r="A88" s="93"/>
      <c r="B88" s="12" t="s">
        <v>114</v>
      </c>
      <c r="C88" s="12" t="s">
        <v>117</v>
      </c>
      <c r="D88" s="12">
        <f>10+5</f>
        <v>15</v>
      </c>
      <c r="E88" s="8">
        <f t="shared" si="1"/>
        <v>90000</v>
      </c>
    </row>
    <row r="89" spans="1:5" s="1" customFormat="1" ht="13.5" customHeight="1" outlineLevel="2" x14ac:dyDescent="0.2">
      <c r="A89" s="93"/>
      <c r="B89" s="12" t="s">
        <v>114</v>
      </c>
      <c r="C89" s="12" t="s">
        <v>118</v>
      </c>
      <c r="D89" s="12">
        <f>3+2</f>
        <v>5</v>
      </c>
      <c r="E89" s="8">
        <f t="shared" si="1"/>
        <v>30000</v>
      </c>
    </row>
    <row r="90" spans="1:5" s="1" customFormat="1" ht="13.5" customHeight="1" outlineLevel="2" x14ac:dyDescent="0.2">
      <c r="A90" s="93"/>
      <c r="B90" s="12" t="s">
        <v>114</v>
      </c>
      <c r="C90" s="12" t="s">
        <v>119</v>
      </c>
      <c r="D90" s="14">
        <f>10+1</f>
        <v>11</v>
      </c>
      <c r="E90" s="8">
        <f t="shared" si="1"/>
        <v>66000</v>
      </c>
    </row>
    <row r="91" spans="1:5" s="1" customFormat="1" ht="13.5" customHeight="1" outlineLevel="2" x14ac:dyDescent="0.2">
      <c r="A91" s="93"/>
      <c r="B91" s="12" t="s">
        <v>114</v>
      </c>
      <c r="C91" s="12" t="s">
        <v>104</v>
      </c>
      <c r="D91" s="14">
        <f>24+2+1+119</f>
        <v>146</v>
      </c>
      <c r="E91" s="8">
        <f t="shared" si="1"/>
        <v>876000</v>
      </c>
    </row>
    <row r="92" spans="1:5" s="1" customFormat="1" ht="13.5" customHeight="1" outlineLevel="2" x14ac:dyDescent="0.2">
      <c r="A92" s="93"/>
      <c r="B92" s="12" t="s">
        <v>114</v>
      </c>
      <c r="C92" s="12" t="s">
        <v>120</v>
      </c>
      <c r="D92" s="12">
        <f>5+13</f>
        <v>18</v>
      </c>
      <c r="E92" s="8">
        <f t="shared" si="1"/>
        <v>108000</v>
      </c>
    </row>
    <row r="93" spans="1:5" s="1" customFormat="1" ht="13.5" customHeight="1" outlineLevel="2" x14ac:dyDescent="0.2">
      <c r="A93" s="94"/>
      <c r="B93" s="12" t="s">
        <v>114</v>
      </c>
      <c r="C93" s="12" t="s">
        <v>121</v>
      </c>
      <c r="D93" s="12">
        <v>3</v>
      </c>
      <c r="E93" s="8">
        <f t="shared" si="1"/>
        <v>18000</v>
      </c>
    </row>
    <row r="94" spans="1:5" s="11" customFormat="1" ht="13.5" customHeight="1" outlineLevel="1" x14ac:dyDescent="0.2">
      <c r="A94" s="13"/>
      <c r="B94" s="3" t="s">
        <v>122</v>
      </c>
      <c r="C94" s="3"/>
      <c r="D94" s="3">
        <f>SUBTOTAL(9,D76:D93)</f>
        <v>292</v>
      </c>
      <c r="E94" s="10">
        <f>SUBTOTAL(9,E76:E93)</f>
        <v>1752000</v>
      </c>
    </row>
    <row r="95" spans="1:5" s="1" customFormat="1" ht="13.5" customHeight="1" outlineLevel="2" x14ac:dyDescent="0.2">
      <c r="A95" s="92" t="s">
        <v>123</v>
      </c>
      <c r="B95" s="12" t="s">
        <v>124</v>
      </c>
      <c r="C95" s="17" t="s">
        <v>125</v>
      </c>
      <c r="D95" s="12">
        <v>5</v>
      </c>
      <c r="E95" s="8">
        <f t="shared" si="1"/>
        <v>30000</v>
      </c>
    </row>
    <row r="96" spans="1:5" s="1" customFormat="1" ht="13.5" customHeight="1" outlineLevel="2" x14ac:dyDescent="0.2">
      <c r="A96" s="93"/>
      <c r="B96" s="12" t="s">
        <v>124</v>
      </c>
      <c r="C96" s="17" t="s">
        <v>126</v>
      </c>
      <c r="D96" s="12">
        <v>5</v>
      </c>
      <c r="E96" s="8">
        <f t="shared" si="1"/>
        <v>30000</v>
      </c>
    </row>
    <row r="97" spans="1:5" s="1" customFormat="1" ht="13.5" customHeight="1" outlineLevel="2" x14ac:dyDescent="0.2">
      <c r="A97" s="93"/>
      <c r="B97" s="12" t="s">
        <v>124</v>
      </c>
      <c r="C97" s="17" t="s">
        <v>127</v>
      </c>
      <c r="D97" s="12">
        <f>5+1</f>
        <v>6</v>
      </c>
      <c r="E97" s="8">
        <f t="shared" si="1"/>
        <v>36000</v>
      </c>
    </row>
    <row r="98" spans="1:5" s="1" customFormat="1" ht="13.5" customHeight="1" outlineLevel="2" x14ac:dyDescent="0.2">
      <c r="A98" s="93"/>
      <c r="B98" s="12" t="s">
        <v>124</v>
      </c>
      <c r="C98" s="12" t="s">
        <v>124</v>
      </c>
      <c r="D98" s="12">
        <v>4</v>
      </c>
      <c r="E98" s="8">
        <f t="shared" si="1"/>
        <v>24000</v>
      </c>
    </row>
    <row r="99" spans="1:5" s="1" customFormat="1" ht="13.5" customHeight="1" outlineLevel="2" x14ac:dyDescent="0.2">
      <c r="A99" s="93"/>
      <c r="B99" s="7" t="s">
        <v>124</v>
      </c>
      <c r="C99" s="7" t="s">
        <v>128</v>
      </c>
      <c r="D99" s="7">
        <v>1</v>
      </c>
      <c r="E99" s="8">
        <f t="shared" si="1"/>
        <v>6000</v>
      </c>
    </row>
    <row r="100" spans="1:5" s="1" customFormat="1" ht="13.5" customHeight="1" outlineLevel="2" x14ac:dyDescent="0.2">
      <c r="A100" s="94"/>
      <c r="B100" s="7" t="s">
        <v>124</v>
      </c>
      <c r="C100" s="7" t="s">
        <v>129</v>
      </c>
      <c r="D100" s="7">
        <v>1</v>
      </c>
      <c r="E100" s="8">
        <f t="shared" si="1"/>
        <v>6000</v>
      </c>
    </row>
    <row r="101" spans="1:5" s="11" customFormat="1" ht="13.5" customHeight="1" outlineLevel="1" x14ac:dyDescent="0.2">
      <c r="A101" s="13"/>
      <c r="B101" s="3" t="s">
        <v>130</v>
      </c>
      <c r="C101" s="3"/>
      <c r="D101" s="3">
        <f>SUBTOTAL(9,D95:D100)</f>
        <v>22</v>
      </c>
      <c r="E101" s="10">
        <f>SUBTOTAL(9,E95:E100)</f>
        <v>132000</v>
      </c>
    </row>
    <row r="102" spans="1:5" s="1" customFormat="1" ht="13.5" customHeight="1" outlineLevel="2" x14ac:dyDescent="0.2">
      <c r="A102" s="92" t="s">
        <v>131</v>
      </c>
      <c r="B102" s="14" t="s">
        <v>132</v>
      </c>
      <c r="C102" s="14" t="s">
        <v>133</v>
      </c>
      <c r="D102" s="14">
        <f>1+2</f>
        <v>3</v>
      </c>
      <c r="E102" s="8">
        <f t="shared" si="1"/>
        <v>18000</v>
      </c>
    </row>
    <row r="103" spans="1:5" s="1" customFormat="1" ht="13.5" customHeight="1" outlineLevel="2" x14ac:dyDescent="0.2">
      <c r="A103" s="93"/>
      <c r="B103" s="12" t="s">
        <v>132</v>
      </c>
      <c r="C103" s="12" t="s">
        <v>132</v>
      </c>
      <c r="D103" s="14">
        <f>10+29</f>
        <v>39</v>
      </c>
      <c r="E103" s="8">
        <f t="shared" si="1"/>
        <v>234000</v>
      </c>
    </row>
    <row r="104" spans="1:5" s="1" customFormat="1" ht="13.5" customHeight="1" outlineLevel="2" x14ac:dyDescent="0.2">
      <c r="A104" s="93"/>
      <c r="B104" s="14" t="s">
        <v>132</v>
      </c>
      <c r="C104" s="14" t="s">
        <v>134</v>
      </c>
      <c r="D104" s="14">
        <v>1</v>
      </c>
      <c r="E104" s="8">
        <f t="shared" si="1"/>
        <v>6000</v>
      </c>
    </row>
    <row r="105" spans="1:5" s="1" customFormat="1" ht="13.5" customHeight="1" outlineLevel="2" x14ac:dyDescent="0.2">
      <c r="A105" s="94"/>
      <c r="B105" s="12" t="s">
        <v>132</v>
      </c>
      <c r="C105" s="12" t="s">
        <v>135</v>
      </c>
      <c r="D105" s="12">
        <v>2</v>
      </c>
      <c r="E105" s="8">
        <f t="shared" si="1"/>
        <v>12000</v>
      </c>
    </row>
    <row r="106" spans="1:5" s="11" customFormat="1" ht="13.5" customHeight="1" outlineLevel="1" x14ac:dyDescent="0.2">
      <c r="A106" s="13"/>
      <c r="B106" s="3" t="s">
        <v>136</v>
      </c>
      <c r="C106" s="3"/>
      <c r="D106" s="3">
        <f>SUBTOTAL(9,D102:D105)</f>
        <v>45</v>
      </c>
      <c r="E106" s="10">
        <f>SUBTOTAL(9,E102:E105)</f>
        <v>270000</v>
      </c>
    </row>
    <row r="107" spans="1:5" s="1" customFormat="1" ht="13.5" customHeight="1" outlineLevel="2" x14ac:dyDescent="0.2">
      <c r="A107" s="92" t="s">
        <v>137</v>
      </c>
      <c r="B107" s="12" t="s">
        <v>138</v>
      </c>
      <c r="C107" s="12" t="s">
        <v>139</v>
      </c>
      <c r="D107" s="12">
        <f>2+2</f>
        <v>4</v>
      </c>
      <c r="E107" s="8">
        <f t="shared" si="1"/>
        <v>24000</v>
      </c>
    </row>
    <row r="108" spans="1:5" s="1" customFormat="1" ht="13.5" customHeight="1" outlineLevel="2" x14ac:dyDescent="0.2">
      <c r="A108" s="93"/>
      <c r="B108" s="12" t="s">
        <v>138</v>
      </c>
      <c r="C108" s="12" t="s">
        <v>140</v>
      </c>
      <c r="D108" s="12">
        <v>2</v>
      </c>
      <c r="E108" s="8">
        <f t="shared" si="1"/>
        <v>12000</v>
      </c>
    </row>
    <row r="109" spans="1:5" s="1" customFormat="1" ht="13.5" customHeight="1" outlineLevel="2" x14ac:dyDescent="0.2">
      <c r="A109" s="93"/>
      <c r="B109" s="12" t="s">
        <v>138</v>
      </c>
      <c r="C109" s="12" t="s">
        <v>141</v>
      </c>
      <c r="D109" s="12">
        <f>5+1</f>
        <v>6</v>
      </c>
      <c r="E109" s="8">
        <f t="shared" si="1"/>
        <v>36000</v>
      </c>
    </row>
    <row r="110" spans="1:5" s="1" customFormat="1" ht="13.5" customHeight="1" outlineLevel="2" x14ac:dyDescent="0.2">
      <c r="A110" s="93"/>
      <c r="B110" s="12" t="s">
        <v>138</v>
      </c>
      <c r="C110" s="12" t="s">
        <v>142</v>
      </c>
      <c r="D110" s="12">
        <f>3+1</f>
        <v>4</v>
      </c>
      <c r="E110" s="8">
        <f t="shared" si="1"/>
        <v>24000</v>
      </c>
    </row>
    <row r="111" spans="1:5" s="1" customFormat="1" ht="13.5" customHeight="1" outlineLevel="2" x14ac:dyDescent="0.2">
      <c r="A111" s="94"/>
      <c r="B111" s="12" t="s">
        <v>138</v>
      </c>
      <c r="C111" s="12" t="s">
        <v>143</v>
      </c>
      <c r="D111" s="12">
        <v>3</v>
      </c>
      <c r="E111" s="8">
        <f t="shared" si="1"/>
        <v>18000</v>
      </c>
    </row>
    <row r="112" spans="1:5" s="11" customFormat="1" ht="13.5" customHeight="1" outlineLevel="1" x14ac:dyDescent="0.2">
      <c r="A112" s="20"/>
      <c r="B112" s="3" t="s">
        <v>144</v>
      </c>
      <c r="C112" s="3"/>
      <c r="D112" s="3">
        <f>SUBTOTAL(9,D107:D111)</f>
        <v>19</v>
      </c>
      <c r="E112" s="10">
        <f>SUBTOTAL(9,E107:E111)</f>
        <v>114000</v>
      </c>
    </row>
    <row r="113" spans="1:5" s="1" customFormat="1" ht="13.5" customHeight="1" outlineLevel="2" x14ac:dyDescent="0.2">
      <c r="A113" s="6" t="s">
        <v>145</v>
      </c>
      <c r="B113" s="7" t="s">
        <v>146</v>
      </c>
      <c r="C113" s="7" t="s">
        <v>146</v>
      </c>
      <c r="D113" s="7">
        <v>1</v>
      </c>
      <c r="E113" s="8">
        <f t="shared" si="1"/>
        <v>6000</v>
      </c>
    </row>
    <row r="114" spans="1:5" s="11" customFormat="1" ht="13.5" customHeight="1" outlineLevel="1" x14ac:dyDescent="0.2">
      <c r="A114" s="9"/>
      <c r="B114" s="3" t="s">
        <v>147</v>
      </c>
      <c r="C114" s="3"/>
      <c r="D114" s="3">
        <f>SUBTOTAL(9,D113:D113)</f>
        <v>1</v>
      </c>
      <c r="E114" s="10">
        <f>SUBTOTAL(9,E113:E113)</f>
        <v>6000</v>
      </c>
    </row>
    <row r="115" spans="1:5" s="1" customFormat="1" ht="13.5" customHeight="1" outlineLevel="2" x14ac:dyDescent="0.2">
      <c r="A115" s="92" t="s">
        <v>148</v>
      </c>
      <c r="B115" s="12" t="s">
        <v>149</v>
      </c>
      <c r="C115" s="12" t="s">
        <v>150</v>
      </c>
      <c r="D115" s="12">
        <v>2</v>
      </c>
      <c r="E115" s="8">
        <f t="shared" si="1"/>
        <v>12000</v>
      </c>
    </row>
    <row r="116" spans="1:5" s="1" customFormat="1" ht="13.5" customHeight="1" outlineLevel="2" x14ac:dyDescent="0.2">
      <c r="A116" s="93"/>
      <c r="B116" s="12" t="s">
        <v>149</v>
      </c>
      <c r="C116" s="12" t="s">
        <v>151</v>
      </c>
      <c r="D116" s="12">
        <f>41+1</f>
        <v>42</v>
      </c>
      <c r="E116" s="8">
        <f t="shared" si="1"/>
        <v>252000</v>
      </c>
    </row>
    <row r="117" spans="1:5" s="1" customFormat="1" ht="13.5" customHeight="1" outlineLevel="2" x14ac:dyDescent="0.2">
      <c r="A117" s="94"/>
      <c r="B117" s="12" t="s">
        <v>149</v>
      </c>
      <c r="C117" s="12" t="s">
        <v>149</v>
      </c>
      <c r="D117" s="12">
        <v>3</v>
      </c>
      <c r="E117" s="8">
        <f t="shared" si="1"/>
        <v>18000</v>
      </c>
    </row>
    <row r="118" spans="1:5" s="11" customFormat="1" ht="13.5" customHeight="1" outlineLevel="1" x14ac:dyDescent="0.2">
      <c r="A118" s="21"/>
      <c r="B118" s="3" t="s">
        <v>152</v>
      </c>
      <c r="C118" s="3"/>
      <c r="D118" s="3">
        <f>SUBTOTAL(9,D115:D117)</f>
        <v>47</v>
      </c>
      <c r="E118" s="10">
        <f>SUBTOTAL(9,E115:E117)</f>
        <v>282000</v>
      </c>
    </row>
    <row r="119" spans="1:5" s="11" customFormat="1" ht="13.5" customHeight="1" outlineLevel="1" x14ac:dyDescent="0.2">
      <c r="A119" s="21"/>
      <c r="B119" s="3"/>
      <c r="C119" s="3"/>
      <c r="D119" s="3"/>
      <c r="E119" s="10"/>
    </row>
    <row r="120" spans="1:5" s="11" customFormat="1" ht="13.5" customHeight="1" x14ac:dyDescent="0.2">
      <c r="A120" s="21"/>
      <c r="B120" s="3" t="s">
        <v>153</v>
      </c>
      <c r="C120" s="3"/>
      <c r="D120" s="3">
        <f>SUBTOTAL(9,D3:D117)</f>
        <v>1352</v>
      </c>
      <c r="E120" s="10">
        <f>SUBTOTAL(9,E3:E117)</f>
        <v>8112000</v>
      </c>
    </row>
    <row r="122" spans="1:5" s="1" customFormat="1" x14ac:dyDescent="0.2">
      <c r="A122" s="22"/>
      <c r="B122" s="2"/>
      <c r="C122" s="2"/>
      <c r="D122" s="2"/>
    </row>
    <row r="124" spans="1:5" s="1" customFormat="1" x14ac:dyDescent="0.2">
      <c r="A124" s="23"/>
      <c r="B124" s="2"/>
      <c r="C124" s="2"/>
      <c r="D124" s="2"/>
    </row>
  </sheetData>
  <protectedRanges>
    <protectedRange sqref="B3:D80 B82:D91" name="Zakres1"/>
    <protectedRange sqref="C117:C120" name="Zakres1_2"/>
    <protectedRange sqref="C117:C120" name="Zakres7_1"/>
    <protectedRange sqref="C92" name="Zakres1_3"/>
    <protectedRange sqref="C92" name="Zakres7_2"/>
    <protectedRange sqref="C111:C112" name="Zakres1_4"/>
    <protectedRange sqref="C111:C112" name="Zakres7_3"/>
    <protectedRange sqref="C93:C94" name="Zakres1_5"/>
    <protectedRange sqref="C93:C94" name="Zakres7_4"/>
    <protectedRange sqref="C95" name="Zakres7_5"/>
    <protectedRange sqref="C96" name="Zakres7_6"/>
    <protectedRange sqref="C97" name="Zakres7_7"/>
    <protectedRange sqref="C98" name="Zakres1_6"/>
    <protectedRange sqref="C98" name="Zakres7_8"/>
    <protectedRange sqref="C99" name="Zakres1_7"/>
    <protectedRange sqref="C99" name="Zakres7_9"/>
    <protectedRange sqref="C100:C101" name="Zakres1_8"/>
    <protectedRange sqref="C100:C101" name="Zakres7_10"/>
    <protectedRange sqref="C102" name="Zakres7_11"/>
    <protectedRange sqref="C103" name="Zakres7_12"/>
    <protectedRange sqref="C104" name="Zakres7_13"/>
    <protectedRange sqref="C81" name="Zakres7_14"/>
    <protectedRange sqref="C105:C106" name="Zakres7_15"/>
    <protectedRange sqref="C107" name="Zakres7_16"/>
    <protectedRange sqref="C108" name="Zakres7_17"/>
    <protectedRange sqref="C109" name="Zakres7_18"/>
    <protectedRange sqref="C110" name="Zakres7_19"/>
    <protectedRange sqref="C115" name="Zakres7_20"/>
    <protectedRange sqref="C113:C114" name="Zakres7_21"/>
    <protectedRange sqref="C116" name="Zakres7_22"/>
  </protectedRanges>
  <autoFilter ref="A2:E117" xr:uid="{8EDF3A15-8227-43C5-A89C-E05E31D39566}">
    <sortState xmlns:xlrd2="http://schemas.microsoft.com/office/spreadsheetml/2017/richdata2" ref="A3:E117">
      <sortCondition ref="B2:B117"/>
    </sortState>
  </autoFilter>
  <mergeCells count="17">
    <mergeCell ref="A76:A93"/>
    <mergeCell ref="A95:A100"/>
    <mergeCell ref="A102:A105"/>
    <mergeCell ref="A107:A111"/>
    <mergeCell ref="A115:A117"/>
    <mergeCell ref="A70:A72"/>
    <mergeCell ref="A1:E1"/>
    <mergeCell ref="A5:A6"/>
    <mergeCell ref="A8:A11"/>
    <mergeCell ref="A13:A20"/>
    <mergeCell ref="A22:A28"/>
    <mergeCell ref="A30:A46"/>
    <mergeCell ref="A48:A49"/>
    <mergeCell ref="A51:A55"/>
    <mergeCell ref="A57:A59"/>
    <mergeCell ref="A63:A64"/>
    <mergeCell ref="A66:A68"/>
  </mergeCells>
  <pageMargins left="0.67" right="0.42" top="0.48" bottom="0.43307086614173229" header="0.2" footer="0.19685039370078741"/>
  <pageSetup paperSize="9" orientation="portrait" r:id="rId1"/>
  <headerFooter>
    <oddHeader>&amp;RTabela nr 2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A87AA-E3D6-45EF-9653-9D6B4E4F77E2}">
  <dimension ref="A1:E113"/>
  <sheetViews>
    <sheetView workbookViewId="0">
      <pane ySplit="2" topLeftCell="A51" activePane="bottomLeft" state="frozen"/>
      <selection pane="bottomLeft" activeCell="C70" sqref="C70"/>
    </sheetView>
  </sheetViews>
  <sheetFormatPr defaultRowHeight="15" outlineLevelRow="2" x14ac:dyDescent="0.25"/>
  <cols>
    <col min="1" max="1" width="8.125" style="25" bestFit="1" customWidth="1"/>
    <col min="2" max="2" width="18.75" style="25" bestFit="1" customWidth="1"/>
    <col min="3" max="3" width="20.25" style="25" customWidth="1"/>
    <col min="4" max="4" width="9" style="37"/>
    <col min="5" max="5" width="20.25" style="38" customWidth="1"/>
    <col min="6" max="16384" width="9" style="25"/>
  </cols>
  <sheetData>
    <row r="1" spans="1:5" ht="36" customHeight="1" x14ac:dyDescent="0.2">
      <c r="A1" s="91" t="s">
        <v>247</v>
      </c>
      <c r="B1" s="91"/>
      <c r="C1" s="91"/>
      <c r="D1" s="91"/>
      <c r="E1" s="91"/>
    </row>
    <row r="2" spans="1:5" ht="28.5" x14ac:dyDescent="0.2">
      <c r="A2" s="26" t="s">
        <v>0</v>
      </c>
      <c r="B2" s="26" t="s">
        <v>1</v>
      </c>
      <c r="C2" s="26" t="s">
        <v>2</v>
      </c>
      <c r="D2" s="27" t="s">
        <v>3</v>
      </c>
      <c r="E2" s="28" t="s">
        <v>4</v>
      </c>
    </row>
    <row r="3" spans="1:5" ht="14.25" outlineLevel="2" x14ac:dyDescent="0.2">
      <c r="A3" s="96" t="s">
        <v>5</v>
      </c>
      <c r="B3" s="30" t="s">
        <v>14</v>
      </c>
      <c r="C3" s="31" t="s">
        <v>15</v>
      </c>
      <c r="D3" s="31">
        <v>3</v>
      </c>
      <c r="E3" s="32">
        <f>D3*5000</f>
        <v>15000</v>
      </c>
    </row>
    <row r="4" spans="1:5" ht="14.25" outlineLevel="2" x14ac:dyDescent="0.2">
      <c r="A4" s="96"/>
      <c r="B4" s="30" t="s">
        <v>14</v>
      </c>
      <c r="C4" s="31" t="s">
        <v>17</v>
      </c>
      <c r="D4" s="31">
        <v>12</v>
      </c>
      <c r="E4" s="32">
        <f>D4*5000</f>
        <v>60000</v>
      </c>
    </row>
    <row r="5" spans="1:5" ht="14.25" outlineLevel="2" x14ac:dyDescent="0.2">
      <c r="A5" s="96"/>
      <c r="B5" s="30" t="s">
        <v>14</v>
      </c>
      <c r="C5" s="31" t="s">
        <v>18</v>
      </c>
      <c r="D5" s="31">
        <v>2</v>
      </c>
      <c r="E5" s="32">
        <f>D5*5000</f>
        <v>10000</v>
      </c>
    </row>
    <row r="6" spans="1:5" ht="14.25" outlineLevel="1" x14ac:dyDescent="0.2">
      <c r="A6" s="29"/>
      <c r="B6" s="62" t="s">
        <v>19</v>
      </c>
      <c r="C6" s="31"/>
      <c r="D6" s="31">
        <f>SUBTOTAL(9,D3:D5)</f>
        <v>17</v>
      </c>
      <c r="E6" s="32">
        <f>SUBTOTAL(9,E3:E5)</f>
        <v>85000</v>
      </c>
    </row>
    <row r="7" spans="1:5" ht="14.25" outlineLevel="2" x14ac:dyDescent="0.2">
      <c r="A7" s="96" t="s">
        <v>9</v>
      </c>
      <c r="B7" s="30" t="s">
        <v>21</v>
      </c>
      <c r="C7" s="31" t="s">
        <v>154</v>
      </c>
      <c r="D7" s="31">
        <f>22+1</f>
        <v>23</v>
      </c>
      <c r="E7" s="32">
        <f t="shared" ref="E7:E14" si="0">D7*5000</f>
        <v>115000</v>
      </c>
    </row>
    <row r="8" spans="1:5" ht="14.25" outlineLevel="2" x14ac:dyDescent="0.2">
      <c r="A8" s="96"/>
      <c r="B8" s="30" t="s">
        <v>21</v>
      </c>
      <c r="C8" s="31" t="s">
        <v>155</v>
      </c>
      <c r="D8" s="31">
        <v>1</v>
      </c>
      <c r="E8" s="32">
        <f t="shared" si="0"/>
        <v>5000</v>
      </c>
    </row>
    <row r="9" spans="1:5" ht="14.25" outlineLevel="2" x14ac:dyDescent="0.2">
      <c r="A9" s="96"/>
      <c r="B9" s="30" t="s">
        <v>21</v>
      </c>
      <c r="C9" s="31" t="s">
        <v>21</v>
      </c>
      <c r="D9" s="31">
        <f>5+4</f>
        <v>9</v>
      </c>
      <c r="E9" s="32">
        <f t="shared" si="0"/>
        <v>45000</v>
      </c>
    </row>
    <row r="10" spans="1:5" ht="14.25" outlineLevel="2" x14ac:dyDescent="0.2">
      <c r="A10" s="96"/>
      <c r="B10" s="30" t="s">
        <v>21</v>
      </c>
      <c r="C10" s="31" t="s">
        <v>156</v>
      </c>
      <c r="D10" s="31">
        <f>3+5</f>
        <v>8</v>
      </c>
      <c r="E10" s="32">
        <f t="shared" si="0"/>
        <v>40000</v>
      </c>
    </row>
    <row r="11" spans="1:5" ht="14.25" outlineLevel="2" x14ac:dyDescent="0.2">
      <c r="A11" s="96"/>
      <c r="B11" s="30" t="s">
        <v>21</v>
      </c>
      <c r="C11" s="31" t="s">
        <v>157</v>
      </c>
      <c r="D11" s="31">
        <v>11</v>
      </c>
      <c r="E11" s="32">
        <f t="shared" si="0"/>
        <v>55000</v>
      </c>
    </row>
    <row r="12" spans="1:5" ht="14.25" outlineLevel="2" x14ac:dyDescent="0.2">
      <c r="A12" s="96"/>
      <c r="B12" s="30" t="s">
        <v>21</v>
      </c>
      <c r="C12" s="31" t="s">
        <v>27</v>
      </c>
      <c r="D12" s="31">
        <f>27+1</f>
        <v>28</v>
      </c>
      <c r="E12" s="32">
        <f t="shared" si="0"/>
        <v>140000</v>
      </c>
    </row>
    <row r="13" spans="1:5" ht="14.25" outlineLevel="2" x14ac:dyDescent="0.2">
      <c r="A13" s="96"/>
      <c r="B13" s="30" t="s">
        <v>21</v>
      </c>
      <c r="C13" s="31" t="s">
        <v>24</v>
      </c>
      <c r="D13" s="31">
        <v>3</v>
      </c>
      <c r="E13" s="32">
        <f t="shared" si="0"/>
        <v>15000</v>
      </c>
    </row>
    <row r="14" spans="1:5" ht="14.25" outlineLevel="2" x14ac:dyDescent="0.2">
      <c r="A14" s="96"/>
      <c r="B14" s="30" t="s">
        <v>21</v>
      </c>
      <c r="C14" s="31" t="s">
        <v>28</v>
      </c>
      <c r="D14" s="31">
        <f>22+4</f>
        <v>26</v>
      </c>
      <c r="E14" s="32">
        <f t="shared" si="0"/>
        <v>130000</v>
      </c>
    </row>
    <row r="15" spans="1:5" ht="14.25" outlineLevel="1" x14ac:dyDescent="0.2">
      <c r="A15" s="29"/>
      <c r="B15" s="62" t="s">
        <v>29</v>
      </c>
      <c r="C15" s="31"/>
      <c r="D15" s="31">
        <f>SUBTOTAL(9,D7:D14)</f>
        <v>109</v>
      </c>
      <c r="E15" s="32">
        <f>SUBTOTAL(9,E7:E14)</f>
        <v>545000</v>
      </c>
    </row>
    <row r="16" spans="1:5" ht="14.25" outlineLevel="2" x14ac:dyDescent="0.2">
      <c r="A16" s="96" t="s">
        <v>13</v>
      </c>
      <c r="B16" s="30" t="s">
        <v>31</v>
      </c>
      <c r="C16" s="31" t="s">
        <v>158</v>
      </c>
      <c r="D16" s="31">
        <v>18</v>
      </c>
      <c r="E16" s="32">
        <f>D16*5000</f>
        <v>90000</v>
      </c>
    </row>
    <row r="17" spans="1:5" ht="14.25" outlineLevel="2" x14ac:dyDescent="0.2">
      <c r="A17" s="96"/>
      <c r="B17" s="31" t="s">
        <v>31</v>
      </c>
      <c r="C17" s="31" t="s">
        <v>35</v>
      </c>
      <c r="D17" s="31">
        <v>1</v>
      </c>
      <c r="E17" s="32">
        <f>D17*5000</f>
        <v>5000</v>
      </c>
    </row>
    <row r="18" spans="1:5" ht="14.25" outlineLevel="2" x14ac:dyDescent="0.2">
      <c r="A18" s="96"/>
      <c r="B18" s="31" t="s">
        <v>31</v>
      </c>
      <c r="C18" s="30" t="s">
        <v>36</v>
      </c>
      <c r="D18" s="31">
        <v>1</v>
      </c>
      <c r="E18" s="32">
        <f>D18*5000</f>
        <v>5000</v>
      </c>
    </row>
    <row r="19" spans="1:5" ht="14.25" outlineLevel="2" x14ac:dyDescent="0.2">
      <c r="A19" s="96"/>
      <c r="B19" s="31" t="s">
        <v>31</v>
      </c>
      <c r="C19" s="31" t="s">
        <v>159</v>
      </c>
      <c r="D19" s="31">
        <f>2+1</f>
        <v>3</v>
      </c>
      <c r="E19" s="32">
        <f>D19*5000</f>
        <v>15000</v>
      </c>
    </row>
    <row r="20" spans="1:5" ht="14.25" outlineLevel="2" x14ac:dyDescent="0.2">
      <c r="A20" s="96"/>
      <c r="B20" s="30" t="s">
        <v>31</v>
      </c>
      <c r="C20" s="31" t="s">
        <v>38</v>
      </c>
      <c r="D20" s="31">
        <v>1</v>
      </c>
      <c r="E20" s="32">
        <f>D20*5000</f>
        <v>5000</v>
      </c>
    </row>
    <row r="21" spans="1:5" ht="14.25" outlineLevel="1" x14ac:dyDescent="0.2">
      <c r="A21" s="29"/>
      <c r="B21" s="62" t="s">
        <v>39</v>
      </c>
      <c r="C21" s="31"/>
      <c r="D21" s="31">
        <f>SUBTOTAL(9,D16:D20)</f>
        <v>24</v>
      </c>
      <c r="E21" s="32">
        <f>SUBTOTAL(9,E16:E20)</f>
        <v>120000</v>
      </c>
    </row>
    <row r="22" spans="1:5" ht="14.25" outlineLevel="2" x14ac:dyDescent="0.2">
      <c r="A22" s="96" t="s">
        <v>20</v>
      </c>
      <c r="B22" s="30" t="s">
        <v>41</v>
      </c>
      <c r="C22" s="31" t="s">
        <v>57</v>
      </c>
      <c r="D22" s="31">
        <f>5+1</f>
        <v>6</v>
      </c>
      <c r="E22" s="32">
        <f t="shared" ref="E22:E37" si="1">D22*5000</f>
        <v>30000</v>
      </c>
    </row>
    <row r="23" spans="1:5" ht="14.25" outlineLevel="2" x14ac:dyDescent="0.2">
      <c r="A23" s="96"/>
      <c r="B23" s="31" t="s">
        <v>41</v>
      </c>
      <c r="C23" s="31" t="s">
        <v>160</v>
      </c>
      <c r="D23" s="31">
        <f>102+23</f>
        <v>125</v>
      </c>
      <c r="E23" s="32">
        <f t="shared" si="1"/>
        <v>625000</v>
      </c>
    </row>
    <row r="24" spans="1:5" ht="14.25" outlineLevel="2" x14ac:dyDescent="0.2">
      <c r="A24" s="96"/>
      <c r="B24" s="31" t="s">
        <v>41</v>
      </c>
      <c r="C24" s="31" t="s">
        <v>161</v>
      </c>
      <c r="D24" s="31">
        <v>2</v>
      </c>
      <c r="E24" s="32">
        <f t="shared" si="1"/>
        <v>10000</v>
      </c>
    </row>
    <row r="25" spans="1:5" ht="14.25" outlineLevel="2" x14ac:dyDescent="0.2">
      <c r="A25" s="96"/>
      <c r="B25" s="31" t="s">
        <v>41</v>
      </c>
      <c r="C25" s="31" t="s">
        <v>162</v>
      </c>
      <c r="D25" s="31">
        <f>8+1</f>
        <v>9</v>
      </c>
      <c r="E25" s="32">
        <f t="shared" si="1"/>
        <v>45000</v>
      </c>
    </row>
    <row r="26" spans="1:5" ht="14.25" outlineLevel="2" x14ac:dyDescent="0.2">
      <c r="A26" s="96"/>
      <c r="B26" s="31" t="s">
        <v>41</v>
      </c>
      <c r="C26" s="31" t="s">
        <v>41</v>
      </c>
      <c r="D26" s="31">
        <f>103+42</f>
        <v>145</v>
      </c>
      <c r="E26" s="32">
        <f t="shared" si="1"/>
        <v>725000</v>
      </c>
    </row>
    <row r="27" spans="1:5" ht="14.25" outlineLevel="2" x14ac:dyDescent="0.2">
      <c r="A27" s="96"/>
      <c r="B27" s="31" t="s">
        <v>41</v>
      </c>
      <c r="C27" s="31" t="s">
        <v>47</v>
      </c>
      <c r="D27" s="31">
        <v>12</v>
      </c>
      <c r="E27" s="32">
        <f t="shared" si="1"/>
        <v>60000</v>
      </c>
    </row>
    <row r="28" spans="1:5" ht="14.25" outlineLevel="2" x14ac:dyDescent="0.2">
      <c r="A28" s="96"/>
      <c r="B28" s="31" t="s">
        <v>41</v>
      </c>
      <c r="C28" s="31" t="s">
        <v>48</v>
      </c>
      <c r="D28" s="31">
        <v>3</v>
      </c>
      <c r="E28" s="32">
        <f t="shared" si="1"/>
        <v>15000</v>
      </c>
    </row>
    <row r="29" spans="1:5" ht="14.25" outlineLevel="2" x14ac:dyDescent="0.2">
      <c r="A29" s="96"/>
      <c r="B29" s="31" t="s">
        <v>41</v>
      </c>
      <c r="C29" s="31" t="s">
        <v>163</v>
      </c>
      <c r="D29" s="31">
        <v>9</v>
      </c>
      <c r="E29" s="32">
        <f t="shared" si="1"/>
        <v>45000</v>
      </c>
    </row>
    <row r="30" spans="1:5" ht="14.25" outlineLevel="2" x14ac:dyDescent="0.2">
      <c r="A30" s="96"/>
      <c r="B30" s="31" t="s">
        <v>41</v>
      </c>
      <c r="C30" s="31" t="s">
        <v>164</v>
      </c>
      <c r="D30" s="31">
        <v>1</v>
      </c>
      <c r="E30" s="32">
        <f t="shared" si="1"/>
        <v>5000</v>
      </c>
    </row>
    <row r="31" spans="1:5" ht="14.25" outlineLevel="2" x14ac:dyDescent="0.2">
      <c r="A31" s="96"/>
      <c r="B31" s="31" t="s">
        <v>41</v>
      </c>
      <c r="C31" s="31" t="s">
        <v>165</v>
      </c>
      <c r="D31" s="31">
        <f>26+10</f>
        <v>36</v>
      </c>
      <c r="E31" s="32">
        <f t="shared" si="1"/>
        <v>180000</v>
      </c>
    </row>
    <row r="32" spans="1:5" ht="14.25" outlineLevel="2" x14ac:dyDescent="0.2">
      <c r="A32" s="96"/>
      <c r="B32" s="31" t="s">
        <v>41</v>
      </c>
      <c r="C32" s="31" t="s">
        <v>166</v>
      </c>
      <c r="D32" s="31">
        <v>2</v>
      </c>
      <c r="E32" s="32">
        <f t="shared" si="1"/>
        <v>10000</v>
      </c>
    </row>
    <row r="33" spans="1:5" ht="14.25" outlineLevel="2" x14ac:dyDescent="0.2">
      <c r="A33" s="96"/>
      <c r="B33" s="31" t="s">
        <v>41</v>
      </c>
      <c r="C33" s="31" t="s">
        <v>167</v>
      </c>
      <c r="D33" s="31">
        <v>1</v>
      </c>
      <c r="E33" s="32">
        <f t="shared" si="1"/>
        <v>5000</v>
      </c>
    </row>
    <row r="34" spans="1:5" ht="14.25" outlineLevel="2" x14ac:dyDescent="0.2">
      <c r="A34" s="96"/>
      <c r="B34" s="31" t="s">
        <v>41</v>
      </c>
      <c r="C34" s="31" t="s">
        <v>51</v>
      </c>
      <c r="D34" s="31">
        <v>12</v>
      </c>
      <c r="E34" s="32">
        <f t="shared" si="1"/>
        <v>60000</v>
      </c>
    </row>
    <row r="35" spans="1:5" ht="14.25" outlineLevel="2" x14ac:dyDescent="0.2">
      <c r="A35" s="96"/>
      <c r="B35" s="31" t="s">
        <v>41</v>
      </c>
      <c r="C35" s="31" t="s">
        <v>52</v>
      </c>
      <c r="D35" s="31">
        <v>2</v>
      </c>
      <c r="E35" s="32">
        <f t="shared" si="1"/>
        <v>10000</v>
      </c>
    </row>
    <row r="36" spans="1:5" ht="14.25" outlineLevel="2" x14ac:dyDescent="0.2">
      <c r="A36" s="96"/>
      <c r="B36" s="31" t="s">
        <v>41</v>
      </c>
      <c r="C36" s="31" t="s">
        <v>53</v>
      </c>
      <c r="D36" s="31">
        <v>8</v>
      </c>
      <c r="E36" s="32">
        <f t="shared" si="1"/>
        <v>40000</v>
      </c>
    </row>
    <row r="37" spans="1:5" ht="14.25" outlineLevel="2" x14ac:dyDescent="0.2">
      <c r="A37" s="96"/>
      <c r="B37" s="30" t="s">
        <v>41</v>
      </c>
      <c r="C37" s="31" t="s">
        <v>55</v>
      </c>
      <c r="D37" s="31">
        <v>2</v>
      </c>
      <c r="E37" s="32">
        <f t="shared" si="1"/>
        <v>10000</v>
      </c>
    </row>
    <row r="38" spans="1:5" ht="14.25" outlineLevel="1" x14ac:dyDescent="0.2">
      <c r="A38" s="29"/>
      <c r="B38" s="62" t="s">
        <v>58</v>
      </c>
      <c r="C38" s="31"/>
      <c r="D38" s="31">
        <f>SUBTOTAL(9,D22:D37)</f>
        <v>375</v>
      </c>
      <c r="E38" s="32">
        <f>SUBTOTAL(9,E22:E37)</f>
        <v>1875000</v>
      </c>
    </row>
    <row r="39" spans="1:5" ht="14.25" outlineLevel="2" x14ac:dyDescent="0.2">
      <c r="A39" s="96" t="s">
        <v>30</v>
      </c>
      <c r="B39" s="30" t="s">
        <v>60</v>
      </c>
      <c r="C39" s="31" t="s">
        <v>242</v>
      </c>
      <c r="D39" s="31">
        <v>13</v>
      </c>
      <c r="E39" s="32">
        <f t="shared" ref="E39:E64" si="2">D39*5000</f>
        <v>65000</v>
      </c>
    </row>
    <row r="40" spans="1:5" ht="14.25" outlineLevel="2" x14ac:dyDescent="0.2">
      <c r="A40" s="96"/>
      <c r="B40" s="30" t="s">
        <v>60</v>
      </c>
      <c r="C40" s="31" t="s">
        <v>61</v>
      </c>
      <c r="D40" s="31">
        <v>4</v>
      </c>
      <c r="E40" s="8">
        <f t="shared" si="2"/>
        <v>20000</v>
      </c>
    </row>
    <row r="41" spans="1:5" ht="14.25" outlineLevel="1" x14ac:dyDescent="0.2">
      <c r="A41" s="29"/>
      <c r="B41" s="62" t="s">
        <v>63</v>
      </c>
      <c r="C41" s="31"/>
      <c r="D41" s="31">
        <f>SUBTOTAL(9,D39:D40)</f>
        <v>17</v>
      </c>
      <c r="E41" s="8">
        <f>SUBTOTAL(9,E39:E40)</f>
        <v>85000</v>
      </c>
    </row>
    <row r="42" spans="1:5" ht="14.25" outlineLevel="2" x14ac:dyDescent="0.2">
      <c r="A42" s="96" t="s">
        <v>40</v>
      </c>
      <c r="B42" s="31" t="s">
        <v>65</v>
      </c>
      <c r="C42" s="31" t="s">
        <v>168</v>
      </c>
      <c r="D42" s="31">
        <v>3</v>
      </c>
      <c r="E42" s="32">
        <f t="shared" si="2"/>
        <v>15000</v>
      </c>
    </row>
    <row r="43" spans="1:5" ht="14.25" outlineLevel="2" x14ac:dyDescent="0.2">
      <c r="A43" s="96"/>
      <c r="B43" s="31" t="s">
        <v>65</v>
      </c>
      <c r="C43" s="31" t="s">
        <v>65</v>
      </c>
      <c r="D43" s="31">
        <v>1</v>
      </c>
      <c r="E43" s="32">
        <f t="shared" si="2"/>
        <v>5000</v>
      </c>
    </row>
    <row r="44" spans="1:5" ht="14.25" outlineLevel="2" x14ac:dyDescent="0.2">
      <c r="A44" s="96"/>
      <c r="B44" s="31" t="s">
        <v>65</v>
      </c>
      <c r="C44" s="31" t="s">
        <v>169</v>
      </c>
      <c r="D44" s="31">
        <v>2</v>
      </c>
      <c r="E44" s="32">
        <f t="shared" si="2"/>
        <v>10000</v>
      </c>
    </row>
    <row r="45" spans="1:5" ht="14.25" outlineLevel="2" x14ac:dyDescent="0.2">
      <c r="A45" s="96"/>
      <c r="B45" s="31" t="s">
        <v>65</v>
      </c>
      <c r="C45" s="31" t="s">
        <v>170</v>
      </c>
      <c r="D45" s="31">
        <v>5</v>
      </c>
      <c r="E45" s="32">
        <f t="shared" si="2"/>
        <v>25000</v>
      </c>
    </row>
    <row r="46" spans="1:5" ht="14.25" outlineLevel="2" x14ac:dyDescent="0.2">
      <c r="A46" s="96"/>
      <c r="B46" s="31" t="s">
        <v>65</v>
      </c>
      <c r="C46" s="31" t="s">
        <v>68</v>
      </c>
      <c r="D46" s="31">
        <v>3</v>
      </c>
      <c r="E46" s="32">
        <f t="shared" si="2"/>
        <v>15000</v>
      </c>
    </row>
    <row r="47" spans="1:5" ht="14.25" outlineLevel="2" x14ac:dyDescent="0.2">
      <c r="A47" s="96"/>
      <c r="B47" s="30" t="s">
        <v>65</v>
      </c>
      <c r="C47" s="31" t="s">
        <v>69</v>
      </c>
      <c r="D47" s="31">
        <v>1</v>
      </c>
      <c r="E47" s="32">
        <f t="shared" si="2"/>
        <v>5000</v>
      </c>
    </row>
    <row r="48" spans="1:5" ht="14.25" outlineLevel="1" x14ac:dyDescent="0.2">
      <c r="A48" s="29"/>
      <c r="B48" s="62" t="s">
        <v>71</v>
      </c>
      <c r="C48" s="31"/>
      <c r="D48" s="31">
        <f>SUBTOTAL(9,D42:D47)</f>
        <v>15</v>
      </c>
      <c r="E48" s="32">
        <f>SUBTOTAL(9,E42:E47)</f>
        <v>75000</v>
      </c>
    </row>
    <row r="49" spans="1:5" ht="14.25" outlineLevel="2" x14ac:dyDescent="0.2">
      <c r="A49" s="96" t="s">
        <v>59</v>
      </c>
      <c r="B49" s="31" t="s">
        <v>73</v>
      </c>
      <c r="C49" s="31" t="s">
        <v>74</v>
      </c>
      <c r="D49" s="31">
        <f>7+21</f>
        <v>28</v>
      </c>
      <c r="E49" s="32">
        <f t="shared" si="2"/>
        <v>140000</v>
      </c>
    </row>
    <row r="50" spans="1:5" ht="14.25" outlineLevel="2" x14ac:dyDescent="0.2">
      <c r="A50" s="96"/>
      <c r="B50" s="30" t="s">
        <v>73</v>
      </c>
      <c r="C50" s="30" t="s">
        <v>76</v>
      </c>
      <c r="D50" s="31">
        <f>1+7</f>
        <v>8</v>
      </c>
      <c r="E50" s="32">
        <f t="shared" si="2"/>
        <v>40000</v>
      </c>
    </row>
    <row r="51" spans="1:5" ht="14.25" outlineLevel="1" x14ac:dyDescent="0.2">
      <c r="A51" s="29"/>
      <c r="B51" s="62" t="s">
        <v>77</v>
      </c>
      <c r="C51" s="30"/>
      <c r="D51" s="31">
        <f>SUBTOTAL(9,D49:D50)</f>
        <v>36</v>
      </c>
      <c r="E51" s="32">
        <f>SUBTOTAL(9,E49:E50)</f>
        <v>180000</v>
      </c>
    </row>
    <row r="52" spans="1:5" ht="14.25" outlineLevel="2" x14ac:dyDescent="0.2">
      <c r="A52" s="29" t="s">
        <v>64</v>
      </c>
      <c r="B52" s="30" t="s">
        <v>79</v>
      </c>
      <c r="C52" s="30" t="s">
        <v>79</v>
      </c>
      <c r="D52" s="31">
        <v>1</v>
      </c>
      <c r="E52" s="32">
        <f t="shared" si="2"/>
        <v>5000</v>
      </c>
    </row>
    <row r="53" spans="1:5" ht="14.25" outlineLevel="1" x14ac:dyDescent="0.2">
      <c r="A53" s="29"/>
      <c r="B53" s="62" t="s">
        <v>81</v>
      </c>
      <c r="C53" s="30"/>
      <c r="D53" s="31">
        <f>SUBTOTAL(9,D52:D52)</f>
        <v>1</v>
      </c>
      <c r="E53" s="32">
        <f>SUBTOTAL(9,E52:E52)</f>
        <v>5000</v>
      </c>
    </row>
    <row r="54" spans="1:5" ht="14.25" outlineLevel="2" x14ac:dyDescent="0.2">
      <c r="A54" s="96" t="s">
        <v>72</v>
      </c>
      <c r="B54" s="31" t="s">
        <v>83</v>
      </c>
      <c r="C54" s="31" t="s">
        <v>84</v>
      </c>
      <c r="D54" s="31">
        <f>3+7</f>
        <v>10</v>
      </c>
      <c r="E54" s="32">
        <f t="shared" si="2"/>
        <v>50000</v>
      </c>
    </row>
    <row r="55" spans="1:5" ht="14.25" outlineLevel="2" x14ac:dyDescent="0.2">
      <c r="A55" s="96"/>
      <c r="B55" s="31" t="s">
        <v>83</v>
      </c>
      <c r="C55" s="31" t="s">
        <v>85</v>
      </c>
      <c r="D55" s="31">
        <f>22+1</f>
        <v>23</v>
      </c>
      <c r="E55" s="32">
        <f t="shared" si="2"/>
        <v>115000</v>
      </c>
    </row>
    <row r="56" spans="1:5" ht="14.25" outlineLevel="1" x14ac:dyDescent="0.2">
      <c r="A56" s="29"/>
      <c r="B56" s="33" t="s">
        <v>86</v>
      </c>
      <c r="C56" s="31"/>
      <c r="D56" s="31">
        <f>SUBTOTAL(9,D54:D55)</f>
        <v>33</v>
      </c>
      <c r="E56" s="32">
        <f>SUBTOTAL(9,E54:E55)</f>
        <v>165000</v>
      </c>
    </row>
    <row r="57" spans="1:5" ht="14.25" outlineLevel="2" x14ac:dyDescent="0.2">
      <c r="A57" s="96" t="s">
        <v>78</v>
      </c>
      <c r="B57" s="31" t="s">
        <v>88</v>
      </c>
      <c r="C57" s="31" t="s">
        <v>88</v>
      </c>
      <c r="D57" s="31">
        <v>13</v>
      </c>
      <c r="E57" s="32">
        <f t="shared" si="2"/>
        <v>65000</v>
      </c>
    </row>
    <row r="58" spans="1:5" ht="14.25" outlineLevel="2" x14ac:dyDescent="0.2">
      <c r="A58" s="96"/>
      <c r="B58" s="30" t="s">
        <v>88</v>
      </c>
      <c r="C58" s="31" t="s">
        <v>171</v>
      </c>
      <c r="D58" s="31">
        <f>1+1</f>
        <v>2</v>
      </c>
      <c r="E58" s="32">
        <f t="shared" si="2"/>
        <v>10000</v>
      </c>
    </row>
    <row r="59" spans="1:5" ht="14.25" outlineLevel="2" x14ac:dyDescent="0.2">
      <c r="A59" s="96"/>
      <c r="B59" s="31" t="s">
        <v>88</v>
      </c>
      <c r="C59" s="31" t="s">
        <v>172</v>
      </c>
      <c r="D59" s="31">
        <f>1+24</f>
        <v>25</v>
      </c>
      <c r="E59" s="32">
        <f t="shared" si="2"/>
        <v>125000</v>
      </c>
    </row>
    <row r="60" spans="1:5" ht="14.25" outlineLevel="1" x14ac:dyDescent="0.2">
      <c r="A60" s="29"/>
      <c r="B60" s="33" t="s">
        <v>92</v>
      </c>
      <c r="C60" s="31"/>
      <c r="D60" s="31">
        <f>SUBTOTAL(9,D57:D59)</f>
        <v>40</v>
      </c>
      <c r="E60" s="32">
        <f>SUBTOTAL(9,E57:E59)</f>
        <v>200000</v>
      </c>
    </row>
    <row r="61" spans="1:5" ht="14.25" outlineLevel="2" x14ac:dyDescent="0.2">
      <c r="A61" s="96" t="s">
        <v>82</v>
      </c>
      <c r="B61" s="31" t="s">
        <v>94</v>
      </c>
      <c r="C61" s="31" t="s">
        <v>173</v>
      </c>
      <c r="D61" s="31">
        <f>11+5</f>
        <v>16</v>
      </c>
      <c r="E61" s="32">
        <f t="shared" si="2"/>
        <v>80000</v>
      </c>
    </row>
    <row r="62" spans="1:5" ht="14.25" outlineLevel="2" x14ac:dyDescent="0.2">
      <c r="A62" s="96"/>
      <c r="B62" s="31" t="s">
        <v>94</v>
      </c>
      <c r="C62" s="31" t="s">
        <v>97</v>
      </c>
      <c r="D62" s="31">
        <v>1</v>
      </c>
      <c r="E62" s="32">
        <f t="shared" si="2"/>
        <v>5000</v>
      </c>
    </row>
    <row r="63" spans="1:5" ht="14.25" outlineLevel="2" x14ac:dyDescent="0.2">
      <c r="A63" s="96"/>
      <c r="B63" s="31" t="s">
        <v>94</v>
      </c>
      <c r="C63" s="31" t="s">
        <v>109</v>
      </c>
      <c r="D63" s="31">
        <v>2</v>
      </c>
      <c r="E63" s="32">
        <f t="shared" si="2"/>
        <v>10000</v>
      </c>
    </row>
    <row r="64" spans="1:5" ht="14.25" outlineLevel="2" x14ac:dyDescent="0.2">
      <c r="A64" s="96"/>
      <c r="B64" s="31" t="s">
        <v>94</v>
      </c>
      <c r="C64" s="31" t="s">
        <v>174</v>
      </c>
      <c r="D64" s="31">
        <f>10+4</f>
        <v>14</v>
      </c>
      <c r="E64" s="32">
        <f t="shared" si="2"/>
        <v>70000</v>
      </c>
    </row>
    <row r="65" spans="1:5" ht="14.25" outlineLevel="1" x14ac:dyDescent="0.2">
      <c r="A65" s="29"/>
      <c r="B65" s="33" t="s">
        <v>98</v>
      </c>
      <c r="C65" s="31"/>
      <c r="D65" s="31">
        <f>SUBTOTAL(9,D61:D64)</f>
        <v>33</v>
      </c>
      <c r="E65" s="32">
        <f>SUBTOTAL(9,E61:E64)</f>
        <v>165000</v>
      </c>
    </row>
    <row r="66" spans="1:5" ht="14.25" outlineLevel="2" x14ac:dyDescent="0.2">
      <c r="A66" s="96" t="s">
        <v>87</v>
      </c>
      <c r="B66" s="31" t="s">
        <v>104</v>
      </c>
      <c r="C66" s="31" t="s">
        <v>115</v>
      </c>
      <c r="D66" s="31">
        <f>57+2</f>
        <v>59</v>
      </c>
      <c r="E66" s="32">
        <f t="shared" ref="E66:E80" si="3">D66*5000</f>
        <v>295000</v>
      </c>
    </row>
    <row r="67" spans="1:5" ht="14.25" outlineLevel="2" x14ac:dyDescent="0.2">
      <c r="A67" s="96"/>
      <c r="B67" s="31" t="s">
        <v>104</v>
      </c>
      <c r="C67" s="31" t="s">
        <v>175</v>
      </c>
      <c r="D67" s="31">
        <v>3</v>
      </c>
      <c r="E67" s="32">
        <f t="shared" si="3"/>
        <v>15000</v>
      </c>
    </row>
    <row r="68" spans="1:5" ht="14.25" outlineLevel="2" x14ac:dyDescent="0.2">
      <c r="A68" s="96"/>
      <c r="B68" s="31" t="s">
        <v>104</v>
      </c>
      <c r="C68" s="31" t="s">
        <v>176</v>
      </c>
      <c r="D68" s="31">
        <f>27+1</f>
        <v>28</v>
      </c>
      <c r="E68" s="32">
        <f t="shared" si="3"/>
        <v>140000</v>
      </c>
    </row>
    <row r="69" spans="1:5" ht="14.25" outlineLevel="2" x14ac:dyDescent="0.2">
      <c r="A69" s="96"/>
      <c r="B69" s="31" t="s">
        <v>104</v>
      </c>
      <c r="C69" s="31" t="s">
        <v>177</v>
      </c>
      <c r="D69" s="31">
        <v>1</v>
      </c>
      <c r="E69" s="32">
        <f t="shared" si="3"/>
        <v>5000</v>
      </c>
    </row>
    <row r="70" spans="1:5" ht="14.25" outlineLevel="2" x14ac:dyDescent="0.2">
      <c r="A70" s="96"/>
      <c r="B70" s="31" t="s">
        <v>104</v>
      </c>
      <c r="C70" s="31" t="s">
        <v>178</v>
      </c>
      <c r="D70" s="31">
        <f>20+2</f>
        <v>22</v>
      </c>
      <c r="E70" s="32">
        <f t="shared" si="3"/>
        <v>110000</v>
      </c>
    </row>
    <row r="71" spans="1:5" ht="14.25" outlineLevel="2" x14ac:dyDescent="0.2">
      <c r="A71" s="96"/>
      <c r="B71" s="30" t="s">
        <v>104</v>
      </c>
      <c r="C71" s="36" t="s">
        <v>106</v>
      </c>
      <c r="D71" s="31">
        <v>1</v>
      </c>
      <c r="E71" s="32">
        <f t="shared" si="3"/>
        <v>5000</v>
      </c>
    </row>
    <row r="72" spans="1:5" ht="14.25" outlineLevel="2" x14ac:dyDescent="0.2">
      <c r="A72" s="96"/>
      <c r="B72" s="30" t="s">
        <v>104</v>
      </c>
      <c r="C72" s="31" t="s">
        <v>179</v>
      </c>
      <c r="D72" s="31">
        <v>11</v>
      </c>
      <c r="E72" s="32">
        <f t="shared" si="3"/>
        <v>55000</v>
      </c>
    </row>
    <row r="73" spans="1:5" ht="14.25" outlineLevel="2" x14ac:dyDescent="0.2">
      <c r="A73" s="96"/>
      <c r="B73" s="31" t="s">
        <v>104</v>
      </c>
      <c r="C73" s="31" t="s">
        <v>108</v>
      </c>
      <c r="D73" s="31">
        <f>13+2</f>
        <v>15</v>
      </c>
      <c r="E73" s="32">
        <f t="shared" si="3"/>
        <v>75000</v>
      </c>
    </row>
    <row r="74" spans="1:5" ht="14.25" outlineLevel="2" x14ac:dyDescent="0.2">
      <c r="A74" s="96"/>
      <c r="B74" s="30" t="s">
        <v>104</v>
      </c>
      <c r="C74" s="30" t="s">
        <v>119</v>
      </c>
      <c r="D74" s="31">
        <f>1+2</f>
        <v>3</v>
      </c>
      <c r="E74" s="32">
        <f t="shared" si="3"/>
        <v>15000</v>
      </c>
    </row>
    <row r="75" spans="1:5" ht="14.25" outlineLevel="2" x14ac:dyDescent="0.2">
      <c r="A75" s="96"/>
      <c r="B75" s="31" t="s">
        <v>104</v>
      </c>
      <c r="C75" s="31" t="s">
        <v>114</v>
      </c>
      <c r="D75" s="31">
        <f>146+10</f>
        <v>156</v>
      </c>
      <c r="E75" s="32">
        <f t="shared" si="3"/>
        <v>780000</v>
      </c>
    </row>
    <row r="76" spans="1:5" ht="14.25" outlineLevel="2" x14ac:dyDescent="0.2">
      <c r="A76" s="96"/>
      <c r="B76" s="31" t="s">
        <v>104</v>
      </c>
      <c r="C76" s="31" t="s">
        <v>180</v>
      </c>
      <c r="D76" s="31">
        <f>22+1</f>
        <v>23</v>
      </c>
      <c r="E76" s="32">
        <f t="shared" si="3"/>
        <v>115000</v>
      </c>
    </row>
    <row r="77" spans="1:5" ht="14.25" outlineLevel="2" x14ac:dyDescent="0.2">
      <c r="A77" s="96"/>
      <c r="B77" s="30" t="s">
        <v>104</v>
      </c>
      <c r="C77" s="31" t="s">
        <v>110</v>
      </c>
      <c r="D77" s="31">
        <f>1+1</f>
        <v>2</v>
      </c>
      <c r="E77" s="32">
        <f t="shared" si="3"/>
        <v>10000</v>
      </c>
    </row>
    <row r="78" spans="1:5" ht="14.25" outlineLevel="2" x14ac:dyDescent="0.2">
      <c r="A78" s="96"/>
      <c r="B78" s="31" t="s">
        <v>104</v>
      </c>
      <c r="C78" s="31" t="s">
        <v>181</v>
      </c>
      <c r="D78" s="31">
        <v>2</v>
      </c>
      <c r="E78" s="32">
        <f t="shared" si="3"/>
        <v>10000</v>
      </c>
    </row>
    <row r="79" spans="1:5" ht="14.25" outlineLevel="2" x14ac:dyDescent="0.2">
      <c r="A79" s="96"/>
      <c r="B79" s="30" t="s">
        <v>104</v>
      </c>
      <c r="C79" s="30" t="s">
        <v>113</v>
      </c>
      <c r="D79" s="31">
        <v>1</v>
      </c>
      <c r="E79" s="32">
        <f t="shared" si="3"/>
        <v>5000</v>
      </c>
    </row>
    <row r="80" spans="1:5" ht="14.25" outlineLevel="2" x14ac:dyDescent="0.2">
      <c r="A80" s="96"/>
      <c r="B80" s="30" t="s">
        <v>104</v>
      </c>
      <c r="C80" s="31" t="s">
        <v>121</v>
      </c>
      <c r="D80" s="31">
        <v>1</v>
      </c>
      <c r="E80" s="32">
        <f t="shared" si="3"/>
        <v>5000</v>
      </c>
    </row>
    <row r="81" spans="1:5" ht="14.25" outlineLevel="1" x14ac:dyDescent="0.2">
      <c r="A81" s="29"/>
      <c r="B81" s="62" t="s">
        <v>122</v>
      </c>
      <c r="C81" s="31"/>
      <c r="D81" s="31">
        <f>SUBTOTAL(9,D66:D80)</f>
        <v>328</v>
      </c>
      <c r="E81" s="32">
        <f>SUBTOTAL(9,E66:E80)</f>
        <v>1640000</v>
      </c>
    </row>
    <row r="82" spans="1:5" ht="14.25" outlineLevel="2" x14ac:dyDescent="0.2">
      <c r="A82" s="96" t="s">
        <v>93</v>
      </c>
      <c r="B82" s="30" t="s">
        <v>124</v>
      </c>
      <c r="C82" s="31" t="s">
        <v>182</v>
      </c>
      <c r="D82" s="31">
        <v>1</v>
      </c>
      <c r="E82" s="32">
        <f t="shared" ref="E82:E90" si="4">D82*5000</f>
        <v>5000</v>
      </c>
    </row>
    <row r="83" spans="1:5" ht="14.25" outlineLevel="2" x14ac:dyDescent="0.2">
      <c r="A83" s="96"/>
      <c r="B83" s="31" t="s">
        <v>124</v>
      </c>
      <c r="C83" s="31" t="s">
        <v>126</v>
      </c>
      <c r="D83" s="31">
        <v>1</v>
      </c>
      <c r="E83" s="32">
        <f>D83*5000</f>
        <v>5000</v>
      </c>
    </row>
    <row r="84" spans="1:5" ht="14.25" outlineLevel="2" x14ac:dyDescent="0.2">
      <c r="A84" s="96"/>
      <c r="B84" s="31" t="s">
        <v>124</v>
      </c>
      <c r="C84" s="31" t="s">
        <v>183</v>
      </c>
      <c r="D84" s="31">
        <v>3</v>
      </c>
      <c r="E84" s="32">
        <f t="shared" si="4"/>
        <v>15000</v>
      </c>
    </row>
    <row r="85" spans="1:5" ht="14.25" outlineLevel="2" x14ac:dyDescent="0.2">
      <c r="A85" s="96"/>
      <c r="B85" s="31" t="s">
        <v>124</v>
      </c>
      <c r="C85" s="31" t="s">
        <v>127</v>
      </c>
      <c r="D85" s="31">
        <v>3</v>
      </c>
      <c r="E85" s="8">
        <f t="shared" si="4"/>
        <v>15000</v>
      </c>
    </row>
    <row r="86" spans="1:5" ht="14.25" outlineLevel="2" x14ac:dyDescent="0.2">
      <c r="A86" s="96"/>
      <c r="B86" s="31" t="s">
        <v>124</v>
      </c>
      <c r="C86" s="31" t="s">
        <v>129</v>
      </c>
      <c r="D86" s="31">
        <v>2</v>
      </c>
      <c r="E86" s="32">
        <f t="shared" si="4"/>
        <v>10000</v>
      </c>
    </row>
    <row r="87" spans="1:5" ht="14.25" outlineLevel="2" x14ac:dyDescent="0.2">
      <c r="A87" s="96"/>
      <c r="B87" s="31" t="s">
        <v>124</v>
      </c>
      <c r="C87" s="31" t="s">
        <v>184</v>
      </c>
      <c r="D87" s="31">
        <v>1</v>
      </c>
      <c r="E87" s="32">
        <f t="shared" si="4"/>
        <v>5000</v>
      </c>
    </row>
    <row r="88" spans="1:5" ht="14.25" outlineLevel="2" x14ac:dyDescent="0.2">
      <c r="A88" s="96"/>
      <c r="B88" s="31" t="s">
        <v>124</v>
      </c>
      <c r="C88" s="31" t="s">
        <v>185</v>
      </c>
      <c r="D88" s="31">
        <v>4</v>
      </c>
      <c r="E88" s="32">
        <f t="shared" si="4"/>
        <v>20000</v>
      </c>
    </row>
    <row r="89" spans="1:5" ht="14.25" outlineLevel="2" x14ac:dyDescent="0.2">
      <c r="A89" s="96"/>
      <c r="B89" s="31" t="s">
        <v>124</v>
      </c>
      <c r="C89" s="31" t="s">
        <v>186</v>
      </c>
      <c r="D89" s="31">
        <v>1</v>
      </c>
      <c r="E89" s="32">
        <f t="shared" si="4"/>
        <v>5000</v>
      </c>
    </row>
    <row r="90" spans="1:5" ht="14.25" outlineLevel="2" x14ac:dyDescent="0.2">
      <c r="A90" s="96"/>
      <c r="B90" s="31" t="s">
        <v>124</v>
      </c>
      <c r="C90" s="31" t="s">
        <v>187</v>
      </c>
      <c r="D90" s="31">
        <v>2</v>
      </c>
      <c r="E90" s="32">
        <f t="shared" si="4"/>
        <v>10000</v>
      </c>
    </row>
    <row r="91" spans="1:5" ht="14.25" outlineLevel="1" x14ac:dyDescent="0.2">
      <c r="A91" s="29"/>
      <c r="B91" s="33" t="s">
        <v>130</v>
      </c>
      <c r="C91" s="31"/>
      <c r="D91" s="31">
        <f>SUBTOTAL(9,D82:D90)</f>
        <v>18</v>
      </c>
      <c r="E91" s="32">
        <f>SUBTOTAL(9,E82:E90)</f>
        <v>90000</v>
      </c>
    </row>
    <row r="92" spans="1:5" ht="14.25" outlineLevel="2" x14ac:dyDescent="0.2">
      <c r="A92" s="96" t="s">
        <v>99</v>
      </c>
      <c r="B92" s="31" t="s">
        <v>132</v>
      </c>
      <c r="C92" s="31" t="s">
        <v>188</v>
      </c>
      <c r="D92" s="31">
        <v>26</v>
      </c>
      <c r="E92" s="32">
        <f t="shared" ref="E92:E97" si="5">D92*5000</f>
        <v>130000</v>
      </c>
    </row>
    <row r="93" spans="1:5" ht="14.25" outlineLevel="2" x14ac:dyDescent="0.2">
      <c r="A93" s="96"/>
      <c r="B93" s="30" t="s">
        <v>132</v>
      </c>
      <c r="C93" s="31" t="s">
        <v>189</v>
      </c>
      <c r="D93" s="31">
        <v>3</v>
      </c>
      <c r="E93" s="32">
        <f t="shared" si="5"/>
        <v>15000</v>
      </c>
    </row>
    <row r="94" spans="1:5" ht="14.25" outlineLevel="2" x14ac:dyDescent="0.2">
      <c r="A94" s="96"/>
      <c r="B94" s="31" t="s">
        <v>132</v>
      </c>
      <c r="C94" s="31" t="s">
        <v>190</v>
      </c>
      <c r="D94" s="31">
        <v>6</v>
      </c>
      <c r="E94" s="32">
        <f t="shared" si="5"/>
        <v>30000</v>
      </c>
    </row>
    <row r="95" spans="1:5" ht="14.25" outlineLevel="2" x14ac:dyDescent="0.2">
      <c r="A95" s="96"/>
      <c r="B95" s="31" t="s">
        <v>132</v>
      </c>
      <c r="C95" s="31" t="s">
        <v>191</v>
      </c>
      <c r="D95" s="31">
        <v>32</v>
      </c>
      <c r="E95" s="32">
        <f t="shared" si="5"/>
        <v>160000</v>
      </c>
    </row>
    <row r="96" spans="1:5" ht="14.25" outlineLevel="2" x14ac:dyDescent="0.2">
      <c r="A96" s="96"/>
      <c r="B96" s="30" t="s">
        <v>132</v>
      </c>
      <c r="C96" s="31" t="s">
        <v>134</v>
      </c>
      <c r="D96" s="31">
        <v>2</v>
      </c>
      <c r="E96" s="32">
        <f t="shared" si="5"/>
        <v>10000</v>
      </c>
    </row>
    <row r="97" spans="1:5" ht="14.25" outlineLevel="2" x14ac:dyDescent="0.2">
      <c r="A97" s="96"/>
      <c r="B97" s="30" t="s">
        <v>132</v>
      </c>
      <c r="C97" s="31" t="s">
        <v>192</v>
      </c>
      <c r="D97" s="31">
        <v>18</v>
      </c>
      <c r="E97" s="32">
        <f t="shared" si="5"/>
        <v>90000</v>
      </c>
    </row>
    <row r="98" spans="1:5" ht="14.25" outlineLevel="1" x14ac:dyDescent="0.2">
      <c r="A98" s="29"/>
      <c r="B98" s="62" t="s">
        <v>136</v>
      </c>
      <c r="C98" s="31"/>
      <c r="D98" s="31">
        <f>SUBTOTAL(9,D92:D97)</f>
        <v>87</v>
      </c>
      <c r="E98" s="32">
        <f>SUBTOTAL(9,E92:E97)</f>
        <v>435000</v>
      </c>
    </row>
    <row r="99" spans="1:5" ht="14.25" outlineLevel="2" x14ac:dyDescent="0.2">
      <c r="A99" s="96" t="s">
        <v>103</v>
      </c>
      <c r="B99" s="31" t="s">
        <v>138</v>
      </c>
      <c r="C99" s="31" t="s">
        <v>139</v>
      </c>
      <c r="D99" s="31">
        <v>11</v>
      </c>
      <c r="E99" s="32">
        <f t="shared" ref="E99:E106" si="6">D99*5000</f>
        <v>55000</v>
      </c>
    </row>
    <row r="100" spans="1:5" ht="14.25" outlineLevel="2" x14ac:dyDescent="0.2">
      <c r="A100" s="96"/>
      <c r="B100" s="30" t="s">
        <v>138</v>
      </c>
      <c r="C100" s="31" t="s">
        <v>140</v>
      </c>
      <c r="D100" s="31">
        <f>15+1</f>
        <v>16</v>
      </c>
      <c r="E100" s="32">
        <f t="shared" si="6"/>
        <v>80000</v>
      </c>
    </row>
    <row r="101" spans="1:5" ht="14.25" outlineLevel="2" x14ac:dyDescent="0.2">
      <c r="A101" s="96"/>
      <c r="B101" s="31" t="s">
        <v>138</v>
      </c>
      <c r="C101" s="31" t="s">
        <v>193</v>
      </c>
      <c r="D101" s="31">
        <v>3</v>
      </c>
      <c r="E101" s="32">
        <f t="shared" si="6"/>
        <v>15000</v>
      </c>
    </row>
    <row r="102" spans="1:5" ht="14.25" outlineLevel="2" x14ac:dyDescent="0.2">
      <c r="A102" s="96"/>
      <c r="B102" s="31" t="s">
        <v>138</v>
      </c>
      <c r="C102" s="31" t="s">
        <v>194</v>
      </c>
      <c r="D102" s="31">
        <v>4</v>
      </c>
      <c r="E102" s="32">
        <f t="shared" si="6"/>
        <v>20000</v>
      </c>
    </row>
    <row r="103" spans="1:5" ht="14.25" outlineLevel="2" x14ac:dyDescent="0.2">
      <c r="A103" s="96"/>
      <c r="B103" s="31" t="s">
        <v>138</v>
      </c>
      <c r="C103" s="31" t="s">
        <v>141</v>
      </c>
      <c r="D103" s="31">
        <v>25</v>
      </c>
      <c r="E103" s="32">
        <f t="shared" si="6"/>
        <v>125000</v>
      </c>
    </row>
    <row r="104" spans="1:5" ht="14.25" outlineLevel="2" x14ac:dyDescent="0.2">
      <c r="A104" s="96"/>
      <c r="B104" s="31" t="s">
        <v>138</v>
      </c>
      <c r="C104" s="31" t="s">
        <v>138</v>
      </c>
      <c r="D104" s="31">
        <v>2</v>
      </c>
      <c r="E104" s="32">
        <f t="shared" si="6"/>
        <v>10000</v>
      </c>
    </row>
    <row r="105" spans="1:5" ht="14.25" outlineLevel="2" x14ac:dyDescent="0.2">
      <c r="A105" s="96"/>
      <c r="B105" s="31" t="s">
        <v>138</v>
      </c>
      <c r="C105" s="31" t="s">
        <v>142</v>
      </c>
      <c r="D105" s="31">
        <f>6+1</f>
        <v>7</v>
      </c>
      <c r="E105" s="32">
        <f t="shared" si="6"/>
        <v>35000</v>
      </c>
    </row>
    <row r="106" spans="1:5" ht="14.25" outlineLevel="2" x14ac:dyDescent="0.2">
      <c r="A106" s="96"/>
      <c r="B106" s="31" t="s">
        <v>138</v>
      </c>
      <c r="C106" s="31" t="s">
        <v>195</v>
      </c>
      <c r="D106" s="31">
        <v>3</v>
      </c>
      <c r="E106" s="32">
        <f t="shared" si="6"/>
        <v>15000</v>
      </c>
    </row>
    <row r="107" spans="1:5" ht="14.25" outlineLevel="1" x14ac:dyDescent="0.2">
      <c r="A107" s="29"/>
      <c r="B107" s="33" t="s">
        <v>144</v>
      </c>
      <c r="C107" s="31"/>
      <c r="D107" s="31">
        <f>SUBTOTAL(9,D99:D106)</f>
        <v>71</v>
      </c>
      <c r="E107" s="32">
        <f>SUBTOTAL(9,E99:E106)</f>
        <v>355000</v>
      </c>
    </row>
    <row r="108" spans="1:5" ht="14.25" outlineLevel="2" x14ac:dyDescent="0.2">
      <c r="A108" s="96" t="s">
        <v>123</v>
      </c>
      <c r="B108" s="31" t="s">
        <v>146</v>
      </c>
      <c r="C108" s="31" t="s">
        <v>196</v>
      </c>
      <c r="D108" s="31">
        <v>1</v>
      </c>
      <c r="E108" s="32">
        <f>D108*5000</f>
        <v>5000</v>
      </c>
    </row>
    <row r="109" spans="1:5" ht="14.25" outlineLevel="2" x14ac:dyDescent="0.2">
      <c r="A109" s="96"/>
      <c r="B109" s="30" t="s">
        <v>146</v>
      </c>
      <c r="C109" s="31" t="s">
        <v>146</v>
      </c>
      <c r="D109" s="31">
        <v>1</v>
      </c>
      <c r="E109" s="32">
        <f>D109*5000</f>
        <v>5000</v>
      </c>
    </row>
    <row r="110" spans="1:5" ht="14.25" outlineLevel="1" x14ac:dyDescent="0.2">
      <c r="A110" s="29"/>
      <c r="B110" s="62" t="s">
        <v>147</v>
      </c>
      <c r="C110" s="31"/>
      <c r="D110" s="31">
        <f>SUBTOTAL(9,D108:D109)</f>
        <v>2</v>
      </c>
      <c r="E110" s="32">
        <f>SUBTOTAL(9,E108:E109)</f>
        <v>10000</v>
      </c>
    </row>
    <row r="111" spans="1:5" ht="14.25" outlineLevel="2" x14ac:dyDescent="0.2">
      <c r="A111" s="29" t="s">
        <v>131</v>
      </c>
      <c r="B111" s="30" t="s">
        <v>149</v>
      </c>
      <c r="C111" s="31" t="s">
        <v>151</v>
      </c>
      <c r="D111" s="31">
        <v>14</v>
      </c>
      <c r="E111" s="32">
        <f>D111*5000</f>
        <v>70000</v>
      </c>
    </row>
    <row r="112" spans="1:5" ht="14.25" outlineLevel="1" x14ac:dyDescent="0.2">
      <c r="A112" s="29"/>
      <c r="B112" s="62" t="s">
        <v>152</v>
      </c>
      <c r="C112" s="31"/>
      <c r="D112" s="31">
        <f>SUBTOTAL(9,D111:D111)</f>
        <v>14</v>
      </c>
      <c r="E112" s="32">
        <f>SUBTOTAL(9,E111:E111)</f>
        <v>70000</v>
      </c>
    </row>
    <row r="113" spans="1:5" ht="14.25" x14ac:dyDescent="0.2">
      <c r="A113" s="29"/>
      <c r="B113" s="62" t="s">
        <v>153</v>
      </c>
      <c r="C113" s="33"/>
      <c r="D113" s="33">
        <f>SUBTOTAL(9,D3:D111)</f>
        <v>1220</v>
      </c>
      <c r="E113" s="34">
        <f>SUBTOTAL(9,E3:E111)</f>
        <v>6100000</v>
      </c>
    </row>
  </sheetData>
  <protectedRanges>
    <protectedRange sqref="E86:E113 B59:B63 E42:E84 B42:C58 B40:B41 E3:E39 B3:C39" name="Zakres1"/>
    <protectedRange sqref="B85 B86:C113 B68:C84 B64:B67 C59:C67" name="Zakres2"/>
  </protectedRanges>
  <autoFilter ref="A2:E111" xr:uid="{67381212-CEE1-47E2-B4EE-81816715C97F}">
    <sortState xmlns:xlrd2="http://schemas.microsoft.com/office/spreadsheetml/2017/richdata2" ref="A3:E111">
      <sortCondition ref="B2:B111"/>
    </sortState>
  </autoFilter>
  <mergeCells count="16">
    <mergeCell ref="A92:A97"/>
    <mergeCell ref="A99:A106"/>
    <mergeCell ref="A108:A109"/>
    <mergeCell ref="A49:A50"/>
    <mergeCell ref="A54:A55"/>
    <mergeCell ref="A57:A59"/>
    <mergeCell ref="A61:A64"/>
    <mergeCell ref="A66:A80"/>
    <mergeCell ref="A82:A90"/>
    <mergeCell ref="A42:A47"/>
    <mergeCell ref="A1:E1"/>
    <mergeCell ref="A3:A5"/>
    <mergeCell ref="A7:A14"/>
    <mergeCell ref="A16:A20"/>
    <mergeCell ref="A22:A37"/>
    <mergeCell ref="A39:A40"/>
  </mergeCells>
  <pageMargins left="0.67" right="0.6" top="0.38" bottom="0.38" header="0.15748031496062992" footer="0.15748031496062992"/>
  <pageSetup paperSize="9" orientation="portrait" r:id="rId1"/>
  <headerFooter>
    <oddHeader>&amp;RTabela nr 3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A41C-5AF9-4816-A5F2-48C7D4460C69}">
  <dimension ref="A1:H68"/>
  <sheetViews>
    <sheetView zoomScale="120" zoomScaleNormal="120" workbookViewId="0">
      <selection activeCell="C21" sqref="C21"/>
    </sheetView>
  </sheetViews>
  <sheetFormatPr defaultRowHeight="14.25" outlineLevelRow="2" x14ac:dyDescent="0.2"/>
  <cols>
    <col min="1" max="1" width="3.375" style="2" bestFit="1" customWidth="1"/>
    <col min="2" max="2" width="19.875" style="2" customWidth="1"/>
    <col min="3" max="3" width="22.375" style="2" customWidth="1"/>
    <col min="4" max="4" width="8.125" style="2" customWidth="1"/>
    <col min="5" max="5" width="21.75" style="1" customWidth="1"/>
    <col min="6" max="6" width="11.5" style="1" bestFit="1" customWidth="1"/>
    <col min="7" max="7" width="9" style="2"/>
    <col min="8" max="8" width="48.625" style="2" customWidth="1"/>
    <col min="9" max="255" width="9" style="2"/>
    <col min="256" max="256" width="3.375" style="2" bestFit="1" customWidth="1"/>
    <col min="257" max="257" width="21.25" style="2" customWidth="1"/>
    <col min="258" max="258" width="16.875" style="2" customWidth="1"/>
    <col min="259" max="259" width="21.125" style="2" customWidth="1"/>
    <col min="260" max="260" width="8.125" style="2" customWidth="1"/>
    <col min="261" max="261" width="17.75" style="2" customWidth="1"/>
    <col min="262" max="262" width="11.5" style="2" bestFit="1" customWidth="1"/>
    <col min="263" max="263" width="9" style="2"/>
    <col min="264" max="264" width="48.625" style="2" customWidth="1"/>
    <col min="265" max="511" width="9" style="2"/>
    <col min="512" max="512" width="3.375" style="2" bestFit="1" customWidth="1"/>
    <col min="513" max="513" width="21.25" style="2" customWidth="1"/>
    <col min="514" max="514" width="16.875" style="2" customWidth="1"/>
    <col min="515" max="515" width="21.125" style="2" customWidth="1"/>
    <col min="516" max="516" width="8.125" style="2" customWidth="1"/>
    <col min="517" max="517" width="17.75" style="2" customWidth="1"/>
    <col min="518" max="518" width="11.5" style="2" bestFit="1" customWidth="1"/>
    <col min="519" max="519" width="9" style="2"/>
    <col min="520" max="520" width="48.625" style="2" customWidth="1"/>
    <col min="521" max="767" width="9" style="2"/>
    <col min="768" max="768" width="3.375" style="2" bestFit="1" customWidth="1"/>
    <col min="769" max="769" width="21.25" style="2" customWidth="1"/>
    <col min="770" max="770" width="16.875" style="2" customWidth="1"/>
    <col min="771" max="771" width="21.125" style="2" customWidth="1"/>
    <col min="772" max="772" width="8.125" style="2" customWidth="1"/>
    <col min="773" max="773" width="17.75" style="2" customWidth="1"/>
    <col min="774" max="774" width="11.5" style="2" bestFit="1" customWidth="1"/>
    <col min="775" max="775" width="9" style="2"/>
    <col min="776" max="776" width="48.625" style="2" customWidth="1"/>
    <col min="777" max="1023" width="9" style="2"/>
    <col min="1024" max="1024" width="3.375" style="2" bestFit="1" customWidth="1"/>
    <col min="1025" max="1025" width="21.25" style="2" customWidth="1"/>
    <col min="1026" max="1026" width="16.875" style="2" customWidth="1"/>
    <col min="1027" max="1027" width="21.125" style="2" customWidth="1"/>
    <col min="1028" max="1028" width="8.125" style="2" customWidth="1"/>
    <col min="1029" max="1029" width="17.75" style="2" customWidth="1"/>
    <col min="1030" max="1030" width="11.5" style="2" bestFit="1" customWidth="1"/>
    <col min="1031" max="1031" width="9" style="2"/>
    <col min="1032" max="1032" width="48.625" style="2" customWidth="1"/>
    <col min="1033" max="1279" width="9" style="2"/>
    <col min="1280" max="1280" width="3.375" style="2" bestFit="1" customWidth="1"/>
    <col min="1281" max="1281" width="21.25" style="2" customWidth="1"/>
    <col min="1282" max="1282" width="16.875" style="2" customWidth="1"/>
    <col min="1283" max="1283" width="21.125" style="2" customWidth="1"/>
    <col min="1284" max="1284" width="8.125" style="2" customWidth="1"/>
    <col min="1285" max="1285" width="17.75" style="2" customWidth="1"/>
    <col min="1286" max="1286" width="11.5" style="2" bestFit="1" customWidth="1"/>
    <col min="1287" max="1287" width="9" style="2"/>
    <col min="1288" max="1288" width="48.625" style="2" customWidth="1"/>
    <col min="1289" max="1535" width="9" style="2"/>
    <col min="1536" max="1536" width="3.375" style="2" bestFit="1" customWidth="1"/>
    <col min="1537" max="1537" width="21.25" style="2" customWidth="1"/>
    <col min="1538" max="1538" width="16.875" style="2" customWidth="1"/>
    <col min="1539" max="1539" width="21.125" style="2" customWidth="1"/>
    <col min="1540" max="1540" width="8.125" style="2" customWidth="1"/>
    <col min="1541" max="1541" width="17.75" style="2" customWidth="1"/>
    <col min="1542" max="1542" width="11.5" style="2" bestFit="1" customWidth="1"/>
    <col min="1543" max="1543" width="9" style="2"/>
    <col min="1544" max="1544" width="48.625" style="2" customWidth="1"/>
    <col min="1545" max="1791" width="9" style="2"/>
    <col min="1792" max="1792" width="3.375" style="2" bestFit="1" customWidth="1"/>
    <col min="1793" max="1793" width="21.25" style="2" customWidth="1"/>
    <col min="1794" max="1794" width="16.875" style="2" customWidth="1"/>
    <col min="1795" max="1795" width="21.125" style="2" customWidth="1"/>
    <col min="1796" max="1796" width="8.125" style="2" customWidth="1"/>
    <col min="1797" max="1797" width="17.75" style="2" customWidth="1"/>
    <col min="1798" max="1798" width="11.5" style="2" bestFit="1" customWidth="1"/>
    <col min="1799" max="1799" width="9" style="2"/>
    <col min="1800" max="1800" width="48.625" style="2" customWidth="1"/>
    <col min="1801" max="2047" width="9" style="2"/>
    <col min="2048" max="2048" width="3.375" style="2" bestFit="1" customWidth="1"/>
    <col min="2049" max="2049" width="21.25" style="2" customWidth="1"/>
    <col min="2050" max="2050" width="16.875" style="2" customWidth="1"/>
    <col min="2051" max="2051" width="21.125" style="2" customWidth="1"/>
    <col min="2052" max="2052" width="8.125" style="2" customWidth="1"/>
    <col min="2053" max="2053" width="17.75" style="2" customWidth="1"/>
    <col min="2054" max="2054" width="11.5" style="2" bestFit="1" customWidth="1"/>
    <col min="2055" max="2055" width="9" style="2"/>
    <col min="2056" max="2056" width="48.625" style="2" customWidth="1"/>
    <col min="2057" max="2303" width="9" style="2"/>
    <col min="2304" max="2304" width="3.375" style="2" bestFit="1" customWidth="1"/>
    <col min="2305" max="2305" width="21.25" style="2" customWidth="1"/>
    <col min="2306" max="2306" width="16.875" style="2" customWidth="1"/>
    <col min="2307" max="2307" width="21.125" style="2" customWidth="1"/>
    <col min="2308" max="2308" width="8.125" style="2" customWidth="1"/>
    <col min="2309" max="2309" width="17.75" style="2" customWidth="1"/>
    <col min="2310" max="2310" width="11.5" style="2" bestFit="1" customWidth="1"/>
    <col min="2311" max="2311" width="9" style="2"/>
    <col min="2312" max="2312" width="48.625" style="2" customWidth="1"/>
    <col min="2313" max="2559" width="9" style="2"/>
    <col min="2560" max="2560" width="3.375" style="2" bestFit="1" customWidth="1"/>
    <col min="2561" max="2561" width="21.25" style="2" customWidth="1"/>
    <col min="2562" max="2562" width="16.875" style="2" customWidth="1"/>
    <col min="2563" max="2563" width="21.125" style="2" customWidth="1"/>
    <col min="2564" max="2564" width="8.125" style="2" customWidth="1"/>
    <col min="2565" max="2565" width="17.75" style="2" customWidth="1"/>
    <col min="2566" max="2566" width="11.5" style="2" bestFit="1" customWidth="1"/>
    <col min="2567" max="2567" width="9" style="2"/>
    <col min="2568" max="2568" width="48.625" style="2" customWidth="1"/>
    <col min="2569" max="2815" width="9" style="2"/>
    <col min="2816" max="2816" width="3.375" style="2" bestFit="1" customWidth="1"/>
    <col min="2817" max="2817" width="21.25" style="2" customWidth="1"/>
    <col min="2818" max="2818" width="16.875" style="2" customWidth="1"/>
    <col min="2819" max="2819" width="21.125" style="2" customWidth="1"/>
    <col min="2820" max="2820" width="8.125" style="2" customWidth="1"/>
    <col min="2821" max="2821" width="17.75" style="2" customWidth="1"/>
    <col min="2822" max="2822" width="11.5" style="2" bestFit="1" customWidth="1"/>
    <col min="2823" max="2823" width="9" style="2"/>
    <col min="2824" max="2824" width="48.625" style="2" customWidth="1"/>
    <col min="2825" max="3071" width="9" style="2"/>
    <col min="3072" max="3072" width="3.375" style="2" bestFit="1" customWidth="1"/>
    <col min="3073" max="3073" width="21.25" style="2" customWidth="1"/>
    <col min="3074" max="3074" width="16.875" style="2" customWidth="1"/>
    <col min="3075" max="3075" width="21.125" style="2" customWidth="1"/>
    <col min="3076" max="3076" width="8.125" style="2" customWidth="1"/>
    <col min="3077" max="3077" width="17.75" style="2" customWidth="1"/>
    <col min="3078" max="3078" width="11.5" style="2" bestFit="1" customWidth="1"/>
    <col min="3079" max="3079" width="9" style="2"/>
    <col min="3080" max="3080" width="48.625" style="2" customWidth="1"/>
    <col min="3081" max="3327" width="9" style="2"/>
    <col min="3328" max="3328" width="3.375" style="2" bestFit="1" customWidth="1"/>
    <col min="3329" max="3329" width="21.25" style="2" customWidth="1"/>
    <col min="3330" max="3330" width="16.875" style="2" customWidth="1"/>
    <col min="3331" max="3331" width="21.125" style="2" customWidth="1"/>
    <col min="3332" max="3332" width="8.125" style="2" customWidth="1"/>
    <col min="3333" max="3333" width="17.75" style="2" customWidth="1"/>
    <col min="3334" max="3334" width="11.5" style="2" bestFit="1" customWidth="1"/>
    <col min="3335" max="3335" width="9" style="2"/>
    <col min="3336" max="3336" width="48.625" style="2" customWidth="1"/>
    <col min="3337" max="3583" width="9" style="2"/>
    <col min="3584" max="3584" width="3.375" style="2" bestFit="1" customWidth="1"/>
    <col min="3585" max="3585" width="21.25" style="2" customWidth="1"/>
    <col min="3586" max="3586" width="16.875" style="2" customWidth="1"/>
    <col min="3587" max="3587" width="21.125" style="2" customWidth="1"/>
    <col min="3588" max="3588" width="8.125" style="2" customWidth="1"/>
    <col min="3589" max="3589" width="17.75" style="2" customWidth="1"/>
    <col min="3590" max="3590" width="11.5" style="2" bestFit="1" customWidth="1"/>
    <col min="3591" max="3591" width="9" style="2"/>
    <col min="3592" max="3592" width="48.625" style="2" customWidth="1"/>
    <col min="3593" max="3839" width="9" style="2"/>
    <col min="3840" max="3840" width="3.375" style="2" bestFit="1" customWidth="1"/>
    <col min="3841" max="3841" width="21.25" style="2" customWidth="1"/>
    <col min="3842" max="3842" width="16.875" style="2" customWidth="1"/>
    <col min="3843" max="3843" width="21.125" style="2" customWidth="1"/>
    <col min="3844" max="3844" width="8.125" style="2" customWidth="1"/>
    <col min="3845" max="3845" width="17.75" style="2" customWidth="1"/>
    <col min="3846" max="3846" width="11.5" style="2" bestFit="1" customWidth="1"/>
    <col min="3847" max="3847" width="9" style="2"/>
    <col min="3848" max="3848" width="48.625" style="2" customWidth="1"/>
    <col min="3849" max="4095" width="9" style="2"/>
    <col min="4096" max="4096" width="3.375" style="2" bestFit="1" customWidth="1"/>
    <col min="4097" max="4097" width="21.25" style="2" customWidth="1"/>
    <col min="4098" max="4098" width="16.875" style="2" customWidth="1"/>
    <col min="4099" max="4099" width="21.125" style="2" customWidth="1"/>
    <col min="4100" max="4100" width="8.125" style="2" customWidth="1"/>
    <col min="4101" max="4101" width="17.75" style="2" customWidth="1"/>
    <col min="4102" max="4102" width="11.5" style="2" bestFit="1" customWidth="1"/>
    <col min="4103" max="4103" width="9" style="2"/>
    <col min="4104" max="4104" width="48.625" style="2" customWidth="1"/>
    <col min="4105" max="4351" width="9" style="2"/>
    <col min="4352" max="4352" width="3.375" style="2" bestFit="1" customWidth="1"/>
    <col min="4353" max="4353" width="21.25" style="2" customWidth="1"/>
    <col min="4354" max="4354" width="16.875" style="2" customWidth="1"/>
    <col min="4355" max="4355" width="21.125" style="2" customWidth="1"/>
    <col min="4356" max="4356" width="8.125" style="2" customWidth="1"/>
    <col min="4357" max="4357" width="17.75" style="2" customWidth="1"/>
    <col min="4358" max="4358" width="11.5" style="2" bestFit="1" customWidth="1"/>
    <col min="4359" max="4359" width="9" style="2"/>
    <col min="4360" max="4360" width="48.625" style="2" customWidth="1"/>
    <col min="4361" max="4607" width="9" style="2"/>
    <col min="4608" max="4608" width="3.375" style="2" bestFit="1" customWidth="1"/>
    <col min="4609" max="4609" width="21.25" style="2" customWidth="1"/>
    <col min="4610" max="4610" width="16.875" style="2" customWidth="1"/>
    <col min="4611" max="4611" width="21.125" style="2" customWidth="1"/>
    <col min="4612" max="4612" width="8.125" style="2" customWidth="1"/>
    <col min="4613" max="4613" width="17.75" style="2" customWidth="1"/>
    <col min="4614" max="4614" width="11.5" style="2" bestFit="1" customWidth="1"/>
    <col min="4615" max="4615" width="9" style="2"/>
    <col min="4616" max="4616" width="48.625" style="2" customWidth="1"/>
    <col min="4617" max="4863" width="9" style="2"/>
    <col min="4864" max="4864" width="3.375" style="2" bestFit="1" customWidth="1"/>
    <col min="4865" max="4865" width="21.25" style="2" customWidth="1"/>
    <col min="4866" max="4866" width="16.875" style="2" customWidth="1"/>
    <col min="4867" max="4867" width="21.125" style="2" customWidth="1"/>
    <col min="4868" max="4868" width="8.125" style="2" customWidth="1"/>
    <col min="4869" max="4869" width="17.75" style="2" customWidth="1"/>
    <col min="4870" max="4870" width="11.5" style="2" bestFit="1" customWidth="1"/>
    <col min="4871" max="4871" width="9" style="2"/>
    <col min="4872" max="4872" width="48.625" style="2" customWidth="1"/>
    <col min="4873" max="5119" width="9" style="2"/>
    <col min="5120" max="5120" width="3.375" style="2" bestFit="1" customWidth="1"/>
    <col min="5121" max="5121" width="21.25" style="2" customWidth="1"/>
    <col min="5122" max="5122" width="16.875" style="2" customWidth="1"/>
    <col min="5123" max="5123" width="21.125" style="2" customWidth="1"/>
    <col min="5124" max="5124" width="8.125" style="2" customWidth="1"/>
    <col min="5125" max="5125" width="17.75" style="2" customWidth="1"/>
    <col min="5126" max="5126" width="11.5" style="2" bestFit="1" customWidth="1"/>
    <col min="5127" max="5127" width="9" style="2"/>
    <col min="5128" max="5128" width="48.625" style="2" customWidth="1"/>
    <col min="5129" max="5375" width="9" style="2"/>
    <col min="5376" max="5376" width="3.375" style="2" bestFit="1" customWidth="1"/>
    <col min="5377" max="5377" width="21.25" style="2" customWidth="1"/>
    <col min="5378" max="5378" width="16.875" style="2" customWidth="1"/>
    <col min="5379" max="5379" width="21.125" style="2" customWidth="1"/>
    <col min="5380" max="5380" width="8.125" style="2" customWidth="1"/>
    <col min="5381" max="5381" width="17.75" style="2" customWidth="1"/>
    <col min="5382" max="5382" width="11.5" style="2" bestFit="1" customWidth="1"/>
    <col min="5383" max="5383" width="9" style="2"/>
    <col min="5384" max="5384" width="48.625" style="2" customWidth="1"/>
    <col min="5385" max="5631" width="9" style="2"/>
    <col min="5632" max="5632" width="3.375" style="2" bestFit="1" customWidth="1"/>
    <col min="5633" max="5633" width="21.25" style="2" customWidth="1"/>
    <col min="5634" max="5634" width="16.875" style="2" customWidth="1"/>
    <col min="5635" max="5635" width="21.125" style="2" customWidth="1"/>
    <col min="5636" max="5636" width="8.125" style="2" customWidth="1"/>
    <col min="5637" max="5637" width="17.75" style="2" customWidth="1"/>
    <col min="5638" max="5638" width="11.5" style="2" bestFit="1" customWidth="1"/>
    <col min="5639" max="5639" width="9" style="2"/>
    <col min="5640" max="5640" width="48.625" style="2" customWidth="1"/>
    <col min="5641" max="5887" width="9" style="2"/>
    <col min="5888" max="5888" width="3.375" style="2" bestFit="1" customWidth="1"/>
    <col min="5889" max="5889" width="21.25" style="2" customWidth="1"/>
    <col min="5890" max="5890" width="16.875" style="2" customWidth="1"/>
    <col min="5891" max="5891" width="21.125" style="2" customWidth="1"/>
    <col min="5892" max="5892" width="8.125" style="2" customWidth="1"/>
    <col min="5893" max="5893" width="17.75" style="2" customWidth="1"/>
    <col min="5894" max="5894" width="11.5" style="2" bestFit="1" customWidth="1"/>
    <col min="5895" max="5895" width="9" style="2"/>
    <col min="5896" max="5896" width="48.625" style="2" customWidth="1"/>
    <col min="5897" max="6143" width="9" style="2"/>
    <col min="6144" max="6144" width="3.375" style="2" bestFit="1" customWidth="1"/>
    <col min="6145" max="6145" width="21.25" style="2" customWidth="1"/>
    <col min="6146" max="6146" width="16.875" style="2" customWidth="1"/>
    <col min="6147" max="6147" width="21.125" style="2" customWidth="1"/>
    <col min="6148" max="6148" width="8.125" style="2" customWidth="1"/>
    <col min="6149" max="6149" width="17.75" style="2" customWidth="1"/>
    <col min="6150" max="6150" width="11.5" style="2" bestFit="1" customWidth="1"/>
    <col min="6151" max="6151" width="9" style="2"/>
    <col min="6152" max="6152" width="48.625" style="2" customWidth="1"/>
    <col min="6153" max="6399" width="9" style="2"/>
    <col min="6400" max="6400" width="3.375" style="2" bestFit="1" customWidth="1"/>
    <col min="6401" max="6401" width="21.25" style="2" customWidth="1"/>
    <col min="6402" max="6402" width="16.875" style="2" customWidth="1"/>
    <col min="6403" max="6403" width="21.125" style="2" customWidth="1"/>
    <col min="6404" max="6404" width="8.125" style="2" customWidth="1"/>
    <col min="6405" max="6405" width="17.75" style="2" customWidth="1"/>
    <col min="6406" max="6406" width="11.5" style="2" bestFit="1" customWidth="1"/>
    <col min="6407" max="6407" width="9" style="2"/>
    <col min="6408" max="6408" width="48.625" style="2" customWidth="1"/>
    <col min="6409" max="6655" width="9" style="2"/>
    <col min="6656" max="6656" width="3.375" style="2" bestFit="1" customWidth="1"/>
    <col min="6657" max="6657" width="21.25" style="2" customWidth="1"/>
    <col min="6658" max="6658" width="16.875" style="2" customWidth="1"/>
    <col min="6659" max="6659" width="21.125" style="2" customWidth="1"/>
    <col min="6660" max="6660" width="8.125" style="2" customWidth="1"/>
    <col min="6661" max="6661" width="17.75" style="2" customWidth="1"/>
    <col min="6662" max="6662" width="11.5" style="2" bestFit="1" customWidth="1"/>
    <col min="6663" max="6663" width="9" style="2"/>
    <col min="6664" max="6664" width="48.625" style="2" customWidth="1"/>
    <col min="6665" max="6911" width="9" style="2"/>
    <col min="6912" max="6912" width="3.375" style="2" bestFit="1" customWidth="1"/>
    <col min="6913" max="6913" width="21.25" style="2" customWidth="1"/>
    <col min="6914" max="6914" width="16.875" style="2" customWidth="1"/>
    <col min="6915" max="6915" width="21.125" style="2" customWidth="1"/>
    <col min="6916" max="6916" width="8.125" style="2" customWidth="1"/>
    <col min="6917" max="6917" width="17.75" style="2" customWidth="1"/>
    <col min="6918" max="6918" width="11.5" style="2" bestFit="1" customWidth="1"/>
    <col min="6919" max="6919" width="9" style="2"/>
    <col min="6920" max="6920" width="48.625" style="2" customWidth="1"/>
    <col min="6921" max="7167" width="9" style="2"/>
    <col min="7168" max="7168" width="3.375" style="2" bestFit="1" customWidth="1"/>
    <col min="7169" max="7169" width="21.25" style="2" customWidth="1"/>
    <col min="7170" max="7170" width="16.875" style="2" customWidth="1"/>
    <col min="7171" max="7171" width="21.125" style="2" customWidth="1"/>
    <col min="7172" max="7172" width="8.125" style="2" customWidth="1"/>
    <col min="7173" max="7173" width="17.75" style="2" customWidth="1"/>
    <col min="7174" max="7174" width="11.5" style="2" bestFit="1" customWidth="1"/>
    <col min="7175" max="7175" width="9" style="2"/>
    <col min="7176" max="7176" width="48.625" style="2" customWidth="1"/>
    <col min="7177" max="7423" width="9" style="2"/>
    <col min="7424" max="7424" width="3.375" style="2" bestFit="1" customWidth="1"/>
    <col min="7425" max="7425" width="21.25" style="2" customWidth="1"/>
    <col min="7426" max="7426" width="16.875" style="2" customWidth="1"/>
    <col min="7427" max="7427" width="21.125" style="2" customWidth="1"/>
    <col min="7428" max="7428" width="8.125" style="2" customWidth="1"/>
    <col min="7429" max="7429" width="17.75" style="2" customWidth="1"/>
    <col min="7430" max="7430" width="11.5" style="2" bestFit="1" customWidth="1"/>
    <col min="7431" max="7431" width="9" style="2"/>
    <col min="7432" max="7432" width="48.625" style="2" customWidth="1"/>
    <col min="7433" max="7679" width="9" style="2"/>
    <col min="7680" max="7680" width="3.375" style="2" bestFit="1" customWidth="1"/>
    <col min="7681" max="7681" width="21.25" style="2" customWidth="1"/>
    <col min="7682" max="7682" width="16.875" style="2" customWidth="1"/>
    <col min="7683" max="7683" width="21.125" style="2" customWidth="1"/>
    <col min="7684" max="7684" width="8.125" style="2" customWidth="1"/>
    <col min="7685" max="7685" width="17.75" style="2" customWidth="1"/>
    <col min="7686" max="7686" width="11.5" style="2" bestFit="1" customWidth="1"/>
    <col min="7687" max="7687" width="9" style="2"/>
    <col min="7688" max="7688" width="48.625" style="2" customWidth="1"/>
    <col min="7689" max="7935" width="9" style="2"/>
    <col min="7936" max="7936" width="3.375" style="2" bestFit="1" customWidth="1"/>
    <col min="7937" max="7937" width="21.25" style="2" customWidth="1"/>
    <col min="7938" max="7938" width="16.875" style="2" customWidth="1"/>
    <col min="7939" max="7939" width="21.125" style="2" customWidth="1"/>
    <col min="7940" max="7940" width="8.125" style="2" customWidth="1"/>
    <col min="7941" max="7941" width="17.75" style="2" customWidth="1"/>
    <col min="7942" max="7942" width="11.5" style="2" bestFit="1" customWidth="1"/>
    <col min="7943" max="7943" width="9" style="2"/>
    <col min="7944" max="7944" width="48.625" style="2" customWidth="1"/>
    <col min="7945" max="8191" width="9" style="2"/>
    <col min="8192" max="8192" width="3.375" style="2" bestFit="1" customWidth="1"/>
    <col min="8193" max="8193" width="21.25" style="2" customWidth="1"/>
    <col min="8194" max="8194" width="16.875" style="2" customWidth="1"/>
    <col min="8195" max="8195" width="21.125" style="2" customWidth="1"/>
    <col min="8196" max="8196" width="8.125" style="2" customWidth="1"/>
    <col min="8197" max="8197" width="17.75" style="2" customWidth="1"/>
    <col min="8198" max="8198" width="11.5" style="2" bestFit="1" customWidth="1"/>
    <col min="8199" max="8199" width="9" style="2"/>
    <col min="8200" max="8200" width="48.625" style="2" customWidth="1"/>
    <col min="8201" max="8447" width="9" style="2"/>
    <col min="8448" max="8448" width="3.375" style="2" bestFit="1" customWidth="1"/>
    <col min="8449" max="8449" width="21.25" style="2" customWidth="1"/>
    <col min="8450" max="8450" width="16.875" style="2" customWidth="1"/>
    <col min="8451" max="8451" width="21.125" style="2" customWidth="1"/>
    <col min="8452" max="8452" width="8.125" style="2" customWidth="1"/>
    <col min="8453" max="8453" width="17.75" style="2" customWidth="1"/>
    <col min="8454" max="8454" width="11.5" style="2" bestFit="1" customWidth="1"/>
    <col min="8455" max="8455" width="9" style="2"/>
    <col min="8456" max="8456" width="48.625" style="2" customWidth="1"/>
    <col min="8457" max="8703" width="9" style="2"/>
    <col min="8704" max="8704" width="3.375" style="2" bestFit="1" customWidth="1"/>
    <col min="8705" max="8705" width="21.25" style="2" customWidth="1"/>
    <col min="8706" max="8706" width="16.875" style="2" customWidth="1"/>
    <col min="8707" max="8707" width="21.125" style="2" customWidth="1"/>
    <col min="8708" max="8708" width="8.125" style="2" customWidth="1"/>
    <col min="8709" max="8709" width="17.75" style="2" customWidth="1"/>
    <col min="8710" max="8710" width="11.5" style="2" bestFit="1" customWidth="1"/>
    <col min="8711" max="8711" width="9" style="2"/>
    <col min="8712" max="8712" width="48.625" style="2" customWidth="1"/>
    <col min="8713" max="8959" width="9" style="2"/>
    <col min="8960" max="8960" width="3.375" style="2" bestFit="1" customWidth="1"/>
    <col min="8961" max="8961" width="21.25" style="2" customWidth="1"/>
    <col min="8962" max="8962" width="16.875" style="2" customWidth="1"/>
    <col min="8963" max="8963" width="21.125" style="2" customWidth="1"/>
    <col min="8964" max="8964" width="8.125" style="2" customWidth="1"/>
    <col min="8965" max="8965" width="17.75" style="2" customWidth="1"/>
    <col min="8966" max="8966" width="11.5" style="2" bestFit="1" customWidth="1"/>
    <col min="8967" max="8967" width="9" style="2"/>
    <col min="8968" max="8968" width="48.625" style="2" customWidth="1"/>
    <col min="8969" max="9215" width="9" style="2"/>
    <col min="9216" max="9216" width="3.375" style="2" bestFit="1" customWidth="1"/>
    <col min="9217" max="9217" width="21.25" style="2" customWidth="1"/>
    <col min="9218" max="9218" width="16.875" style="2" customWidth="1"/>
    <col min="9219" max="9219" width="21.125" style="2" customWidth="1"/>
    <col min="9220" max="9220" width="8.125" style="2" customWidth="1"/>
    <col min="9221" max="9221" width="17.75" style="2" customWidth="1"/>
    <col min="9222" max="9222" width="11.5" style="2" bestFit="1" customWidth="1"/>
    <col min="9223" max="9223" width="9" style="2"/>
    <col min="9224" max="9224" width="48.625" style="2" customWidth="1"/>
    <col min="9225" max="9471" width="9" style="2"/>
    <col min="9472" max="9472" width="3.375" style="2" bestFit="1" customWidth="1"/>
    <col min="9473" max="9473" width="21.25" style="2" customWidth="1"/>
    <col min="9474" max="9474" width="16.875" style="2" customWidth="1"/>
    <col min="9475" max="9475" width="21.125" style="2" customWidth="1"/>
    <col min="9476" max="9476" width="8.125" style="2" customWidth="1"/>
    <col min="9477" max="9477" width="17.75" style="2" customWidth="1"/>
    <col min="9478" max="9478" width="11.5" style="2" bestFit="1" customWidth="1"/>
    <col min="9479" max="9479" width="9" style="2"/>
    <col min="9480" max="9480" width="48.625" style="2" customWidth="1"/>
    <col min="9481" max="9727" width="9" style="2"/>
    <col min="9728" max="9728" width="3.375" style="2" bestFit="1" customWidth="1"/>
    <col min="9729" max="9729" width="21.25" style="2" customWidth="1"/>
    <col min="9730" max="9730" width="16.875" style="2" customWidth="1"/>
    <col min="9731" max="9731" width="21.125" style="2" customWidth="1"/>
    <col min="9732" max="9732" width="8.125" style="2" customWidth="1"/>
    <col min="9733" max="9733" width="17.75" style="2" customWidth="1"/>
    <col min="9734" max="9734" width="11.5" style="2" bestFit="1" customWidth="1"/>
    <col min="9735" max="9735" width="9" style="2"/>
    <col min="9736" max="9736" width="48.625" style="2" customWidth="1"/>
    <col min="9737" max="9983" width="9" style="2"/>
    <col min="9984" max="9984" width="3.375" style="2" bestFit="1" customWidth="1"/>
    <col min="9985" max="9985" width="21.25" style="2" customWidth="1"/>
    <col min="9986" max="9986" width="16.875" style="2" customWidth="1"/>
    <col min="9987" max="9987" width="21.125" style="2" customWidth="1"/>
    <col min="9988" max="9988" width="8.125" style="2" customWidth="1"/>
    <col min="9989" max="9989" width="17.75" style="2" customWidth="1"/>
    <col min="9990" max="9990" width="11.5" style="2" bestFit="1" customWidth="1"/>
    <col min="9991" max="9991" width="9" style="2"/>
    <col min="9992" max="9992" width="48.625" style="2" customWidth="1"/>
    <col min="9993" max="10239" width="9" style="2"/>
    <col min="10240" max="10240" width="3.375" style="2" bestFit="1" customWidth="1"/>
    <col min="10241" max="10241" width="21.25" style="2" customWidth="1"/>
    <col min="10242" max="10242" width="16.875" style="2" customWidth="1"/>
    <col min="10243" max="10243" width="21.125" style="2" customWidth="1"/>
    <col min="10244" max="10244" width="8.125" style="2" customWidth="1"/>
    <col min="10245" max="10245" width="17.75" style="2" customWidth="1"/>
    <col min="10246" max="10246" width="11.5" style="2" bestFit="1" customWidth="1"/>
    <col min="10247" max="10247" width="9" style="2"/>
    <col min="10248" max="10248" width="48.625" style="2" customWidth="1"/>
    <col min="10249" max="10495" width="9" style="2"/>
    <col min="10496" max="10496" width="3.375" style="2" bestFit="1" customWidth="1"/>
    <col min="10497" max="10497" width="21.25" style="2" customWidth="1"/>
    <col min="10498" max="10498" width="16.875" style="2" customWidth="1"/>
    <col min="10499" max="10499" width="21.125" style="2" customWidth="1"/>
    <col min="10500" max="10500" width="8.125" style="2" customWidth="1"/>
    <col min="10501" max="10501" width="17.75" style="2" customWidth="1"/>
    <col min="10502" max="10502" width="11.5" style="2" bestFit="1" customWidth="1"/>
    <col min="10503" max="10503" width="9" style="2"/>
    <col min="10504" max="10504" width="48.625" style="2" customWidth="1"/>
    <col min="10505" max="10751" width="9" style="2"/>
    <col min="10752" max="10752" width="3.375" style="2" bestFit="1" customWidth="1"/>
    <col min="10753" max="10753" width="21.25" style="2" customWidth="1"/>
    <col min="10754" max="10754" width="16.875" style="2" customWidth="1"/>
    <col min="10755" max="10755" width="21.125" style="2" customWidth="1"/>
    <col min="10756" max="10756" width="8.125" style="2" customWidth="1"/>
    <col min="10757" max="10757" width="17.75" style="2" customWidth="1"/>
    <col min="10758" max="10758" width="11.5" style="2" bestFit="1" customWidth="1"/>
    <col min="10759" max="10759" width="9" style="2"/>
    <col min="10760" max="10760" width="48.625" style="2" customWidth="1"/>
    <col min="10761" max="11007" width="9" style="2"/>
    <col min="11008" max="11008" width="3.375" style="2" bestFit="1" customWidth="1"/>
    <col min="11009" max="11009" width="21.25" style="2" customWidth="1"/>
    <col min="11010" max="11010" width="16.875" style="2" customWidth="1"/>
    <col min="11011" max="11011" width="21.125" style="2" customWidth="1"/>
    <col min="11012" max="11012" width="8.125" style="2" customWidth="1"/>
    <col min="11013" max="11013" width="17.75" style="2" customWidth="1"/>
    <col min="11014" max="11014" width="11.5" style="2" bestFit="1" customWidth="1"/>
    <col min="11015" max="11015" width="9" style="2"/>
    <col min="11016" max="11016" width="48.625" style="2" customWidth="1"/>
    <col min="11017" max="11263" width="9" style="2"/>
    <col min="11264" max="11264" width="3.375" style="2" bestFit="1" customWidth="1"/>
    <col min="11265" max="11265" width="21.25" style="2" customWidth="1"/>
    <col min="11266" max="11266" width="16.875" style="2" customWidth="1"/>
    <col min="11267" max="11267" width="21.125" style="2" customWidth="1"/>
    <col min="11268" max="11268" width="8.125" style="2" customWidth="1"/>
    <col min="11269" max="11269" width="17.75" style="2" customWidth="1"/>
    <col min="11270" max="11270" width="11.5" style="2" bestFit="1" customWidth="1"/>
    <col min="11271" max="11271" width="9" style="2"/>
    <col min="11272" max="11272" width="48.625" style="2" customWidth="1"/>
    <col min="11273" max="11519" width="9" style="2"/>
    <col min="11520" max="11520" width="3.375" style="2" bestFit="1" customWidth="1"/>
    <col min="11521" max="11521" width="21.25" style="2" customWidth="1"/>
    <col min="11522" max="11522" width="16.875" style="2" customWidth="1"/>
    <col min="11523" max="11523" width="21.125" style="2" customWidth="1"/>
    <col min="11524" max="11524" width="8.125" style="2" customWidth="1"/>
    <col min="11525" max="11525" width="17.75" style="2" customWidth="1"/>
    <col min="11526" max="11526" width="11.5" style="2" bestFit="1" customWidth="1"/>
    <col min="11527" max="11527" width="9" style="2"/>
    <col min="11528" max="11528" width="48.625" style="2" customWidth="1"/>
    <col min="11529" max="11775" width="9" style="2"/>
    <col min="11776" max="11776" width="3.375" style="2" bestFit="1" customWidth="1"/>
    <col min="11777" max="11777" width="21.25" style="2" customWidth="1"/>
    <col min="11778" max="11778" width="16.875" style="2" customWidth="1"/>
    <col min="11779" max="11779" width="21.125" style="2" customWidth="1"/>
    <col min="11780" max="11780" width="8.125" style="2" customWidth="1"/>
    <col min="11781" max="11781" width="17.75" style="2" customWidth="1"/>
    <col min="11782" max="11782" width="11.5" style="2" bestFit="1" customWidth="1"/>
    <col min="11783" max="11783" width="9" style="2"/>
    <col min="11784" max="11784" width="48.625" style="2" customWidth="1"/>
    <col min="11785" max="12031" width="9" style="2"/>
    <col min="12032" max="12032" width="3.375" style="2" bestFit="1" customWidth="1"/>
    <col min="12033" max="12033" width="21.25" style="2" customWidth="1"/>
    <col min="12034" max="12034" width="16.875" style="2" customWidth="1"/>
    <col min="12035" max="12035" width="21.125" style="2" customWidth="1"/>
    <col min="12036" max="12036" width="8.125" style="2" customWidth="1"/>
    <col min="12037" max="12037" width="17.75" style="2" customWidth="1"/>
    <col min="12038" max="12038" width="11.5" style="2" bestFit="1" customWidth="1"/>
    <col min="12039" max="12039" width="9" style="2"/>
    <col min="12040" max="12040" width="48.625" style="2" customWidth="1"/>
    <col min="12041" max="12287" width="9" style="2"/>
    <col min="12288" max="12288" width="3.375" style="2" bestFit="1" customWidth="1"/>
    <col min="12289" max="12289" width="21.25" style="2" customWidth="1"/>
    <col min="12290" max="12290" width="16.875" style="2" customWidth="1"/>
    <col min="12291" max="12291" width="21.125" style="2" customWidth="1"/>
    <col min="12292" max="12292" width="8.125" style="2" customWidth="1"/>
    <col min="12293" max="12293" width="17.75" style="2" customWidth="1"/>
    <col min="12294" max="12294" width="11.5" style="2" bestFit="1" customWidth="1"/>
    <col min="12295" max="12295" width="9" style="2"/>
    <col min="12296" max="12296" width="48.625" style="2" customWidth="1"/>
    <col min="12297" max="12543" width="9" style="2"/>
    <col min="12544" max="12544" width="3.375" style="2" bestFit="1" customWidth="1"/>
    <col min="12545" max="12545" width="21.25" style="2" customWidth="1"/>
    <col min="12546" max="12546" width="16.875" style="2" customWidth="1"/>
    <col min="12547" max="12547" width="21.125" style="2" customWidth="1"/>
    <col min="12548" max="12548" width="8.125" style="2" customWidth="1"/>
    <col min="12549" max="12549" width="17.75" style="2" customWidth="1"/>
    <col min="12550" max="12550" width="11.5" style="2" bestFit="1" customWidth="1"/>
    <col min="12551" max="12551" width="9" style="2"/>
    <col min="12552" max="12552" width="48.625" style="2" customWidth="1"/>
    <col min="12553" max="12799" width="9" style="2"/>
    <col min="12800" max="12800" width="3.375" style="2" bestFit="1" customWidth="1"/>
    <col min="12801" max="12801" width="21.25" style="2" customWidth="1"/>
    <col min="12802" max="12802" width="16.875" style="2" customWidth="1"/>
    <col min="12803" max="12803" width="21.125" style="2" customWidth="1"/>
    <col min="12804" max="12804" width="8.125" style="2" customWidth="1"/>
    <col min="12805" max="12805" width="17.75" style="2" customWidth="1"/>
    <col min="12806" max="12806" width="11.5" style="2" bestFit="1" customWidth="1"/>
    <col min="12807" max="12807" width="9" style="2"/>
    <col min="12808" max="12808" width="48.625" style="2" customWidth="1"/>
    <col min="12809" max="13055" width="9" style="2"/>
    <col min="13056" max="13056" width="3.375" style="2" bestFit="1" customWidth="1"/>
    <col min="13057" max="13057" width="21.25" style="2" customWidth="1"/>
    <col min="13058" max="13058" width="16.875" style="2" customWidth="1"/>
    <col min="13059" max="13059" width="21.125" style="2" customWidth="1"/>
    <col min="13060" max="13060" width="8.125" style="2" customWidth="1"/>
    <col min="13061" max="13061" width="17.75" style="2" customWidth="1"/>
    <col min="13062" max="13062" width="11.5" style="2" bestFit="1" customWidth="1"/>
    <col min="13063" max="13063" width="9" style="2"/>
    <col min="13064" max="13064" width="48.625" style="2" customWidth="1"/>
    <col min="13065" max="13311" width="9" style="2"/>
    <col min="13312" max="13312" width="3.375" style="2" bestFit="1" customWidth="1"/>
    <col min="13313" max="13313" width="21.25" style="2" customWidth="1"/>
    <col min="13314" max="13314" width="16.875" style="2" customWidth="1"/>
    <col min="13315" max="13315" width="21.125" style="2" customWidth="1"/>
    <col min="13316" max="13316" width="8.125" style="2" customWidth="1"/>
    <col min="13317" max="13317" width="17.75" style="2" customWidth="1"/>
    <col min="13318" max="13318" width="11.5" style="2" bestFit="1" customWidth="1"/>
    <col min="13319" max="13319" width="9" style="2"/>
    <col min="13320" max="13320" width="48.625" style="2" customWidth="1"/>
    <col min="13321" max="13567" width="9" style="2"/>
    <col min="13568" max="13568" width="3.375" style="2" bestFit="1" customWidth="1"/>
    <col min="13569" max="13569" width="21.25" style="2" customWidth="1"/>
    <col min="13570" max="13570" width="16.875" style="2" customWidth="1"/>
    <col min="13571" max="13571" width="21.125" style="2" customWidth="1"/>
    <col min="13572" max="13572" width="8.125" style="2" customWidth="1"/>
    <col min="13573" max="13573" width="17.75" style="2" customWidth="1"/>
    <col min="13574" max="13574" width="11.5" style="2" bestFit="1" customWidth="1"/>
    <col min="13575" max="13575" width="9" style="2"/>
    <col min="13576" max="13576" width="48.625" style="2" customWidth="1"/>
    <col min="13577" max="13823" width="9" style="2"/>
    <col min="13824" max="13824" width="3.375" style="2" bestFit="1" customWidth="1"/>
    <col min="13825" max="13825" width="21.25" style="2" customWidth="1"/>
    <col min="13826" max="13826" width="16.875" style="2" customWidth="1"/>
    <col min="13827" max="13827" width="21.125" style="2" customWidth="1"/>
    <col min="13828" max="13828" width="8.125" style="2" customWidth="1"/>
    <col min="13829" max="13829" width="17.75" style="2" customWidth="1"/>
    <col min="13830" max="13830" width="11.5" style="2" bestFit="1" customWidth="1"/>
    <col min="13831" max="13831" width="9" style="2"/>
    <col min="13832" max="13832" width="48.625" style="2" customWidth="1"/>
    <col min="13833" max="14079" width="9" style="2"/>
    <col min="14080" max="14080" width="3.375" style="2" bestFit="1" customWidth="1"/>
    <col min="14081" max="14081" width="21.25" style="2" customWidth="1"/>
    <col min="14082" max="14082" width="16.875" style="2" customWidth="1"/>
    <col min="14083" max="14083" width="21.125" style="2" customWidth="1"/>
    <col min="14084" max="14084" width="8.125" style="2" customWidth="1"/>
    <col min="14085" max="14085" width="17.75" style="2" customWidth="1"/>
    <col min="14086" max="14086" width="11.5" style="2" bestFit="1" customWidth="1"/>
    <col min="14087" max="14087" width="9" style="2"/>
    <col min="14088" max="14088" width="48.625" style="2" customWidth="1"/>
    <col min="14089" max="14335" width="9" style="2"/>
    <col min="14336" max="14336" width="3.375" style="2" bestFit="1" customWidth="1"/>
    <col min="14337" max="14337" width="21.25" style="2" customWidth="1"/>
    <col min="14338" max="14338" width="16.875" style="2" customWidth="1"/>
    <col min="14339" max="14339" width="21.125" style="2" customWidth="1"/>
    <col min="14340" max="14340" width="8.125" style="2" customWidth="1"/>
    <col min="14341" max="14341" width="17.75" style="2" customWidth="1"/>
    <col min="14342" max="14342" width="11.5" style="2" bestFit="1" customWidth="1"/>
    <col min="14343" max="14343" width="9" style="2"/>
    <col min="14344" max="14344" width="48.625" style="2" customWidth="1"/>
    <col min="14345" max="14591" width="9" style="2"/>
    <col min="14592" max="14592" width="3.375" style="2" bestFit="1" customWidth="1"/>
    <col min="14593" max="14593" width="21.25" style="2" customWidth="1"/>
    <col min="14594" max="14594" width="16.875" style="2" customWidth="1"/>
    <col min="14595" max="14595" width="21.125" style="2" customWidth="1"/>
    <col min="14596" max="14596" width="8.125" style="2" customWidth="1"/>
    <col min="14597" max="14597" width="17.75" style="2" customWidth="1"/>
    <col min="14598" max="14598" width="11.5" style="2" bestFit="1" customWidth="1"/>
    <col min="14599" max="14599" width="9" style="2"/>
    <col min="14600" max="14600" width="48.625" style="2" customWidth="1"/>
    <col min="14601" max="14847" width="9" style="2"/>
    <col min="14848" max="14848" width="3.375" style="2" bestFit="1" customWidth="1"/>
    <col min="14849" max="14849" width="21.25" style="2" customWidth="1"/>
    <col min="14850" max="14850" width="16.875" style="2" customWidth="1"/>
    <col min="14851" max="14851" width="21.125" style="2" customWidth="1"/>
    <col min="14852" max="14852" width="8.125" style="2" customWidth="1"/>
    <col min="14853" max="14853" width="17.75" style="2" customWidth="1"/>
    <col min="14854" max="14854" width="11.5" style="2" bestFit="1" customWidth="1"/>
    <col min="14855" max="14855" width="9" style="2"/>
    <col min="14856" max="14856" width="48.625" style="2" customWidth="1"/>
    <col min="14857" max="15103" width="9" style="2"/>
    <col min="15104" max="15104" width="3.375" style="2" bestFit="1" customWidth="1"/>
    <col min="15105" max="15105" width="21.25" style="2" customWidth="1"/>
    <col min="15106" max="15106" width="16.875" style="2" customWidth="1"/>
    <col min="15107" max="15107" width="21.125" style="2" customWidth="1"/>
    <col min="15108" max="15108" width="8.125" style="2" customWidth="1"/>
    <col min="15109" max="15109" width="17.75" style="2" customWidth="1"/>
    <col min="15110" max="15110" width="11.5" style="2" bestFit="1" customWidth="1"/>
    <col min="15111" max="15111" width="9" style="2"/>
    <col min="15112" max="15112" width="48.625" style="2" customWidth="1"/>
    <col min="15113" max="15359" width="9" style="2"/>
    <col min="15360" max="15360" width="3.375" style="2" bestFit="1" customWidth="1"/>
    <col min="15361" max="15361" width="21.25" style="2" customWidth="1"/>
    <col min="15362" max="15362" width="16.875" style="2" customWidth="1"/>
    <col min="15363" max="15363" width="21.125" style="2" customWidth="1"/>
    <col min="15364" max="15364" width="8.125" style="2" customWidth="1"/>
    <col min="15365" max="15365" width="17.75" style="2" customWidth="1"/>
    <col min="15366" max="15366" width="11.5" style="2" bestFit="1" customWidth="1"/>
    <col min="15367" max="15367" width="9" style="2"/>
    <col min="15368" max="15368" width="48.625" style="2" customWidth="1"/>
    <col min="15369" max="15615" width="9" style="2"/>
    <col min="15616" max="15616" width="3.375" style="2" bestFit="1" customWidth="1"/>
    <col min="15617" max="15617" width="21.25" style="2" customWidth="1"/>
    <col min="15618" max="15618" width="16.875" style="2" customWidth="1"/>
    <col min="15619" max="15619" width="21.125" style="2" customWidth="1"/>
    <col min="15620" max="15620" width="8.125" style="2" customWidth="1"/>
    <col min="15621" max="15621" width="17.75" style="2" customWidth="1"/>
    <col min="15622" max="15622" width="11.5" style="2" bestFit="1" customWidth="1"/>
    <col min="15623" max="15623" width="9" style="2"/>
    <col min="15624" max="15624" width="48.625" style="2" customWidth="1"/>
    <col min="15625" max="15871" width="9" style="2"/>
    <col min="15872" max="15872" width="3.375" style="2" bestFit="1" customWidth="1"/>
    <col min="15873" max="15873" width="21.25" style="2" customWidth="1"/>
    <col min="15874" max="15874" width="16.875" style="2" customWidth="1"/>
    <col min="15875" max="15875" width="21.125" style="2" customWidth="1"/>
    <col min="15876" max="15876" width="8.125" style="2" customWidth="1"/>
    <col min="15877" max="15877" width="17.75" style="2" customWidth="1"/>
    <col min="15878" max="15878" width="11.5" style="2" bestFit="1" customWidth="1"/>
    <col min="15879" max="15879" width="9" style="2"/>
    <col min="15880" max="15880" width="48.625" style="2" customWidth="1"/>
    <col min="15881" max="16127" width="9" style="2"/>
    <col min="16128" max="16128" width="3.375" style="2" bestFit="1" customWidth="1"/>
    <col min="16129" max="16129" width="21.25" style="2" customWidth="1"/>
    <col min="16130" max="16130" width="16.875" style="2" customWidth="1"/>
    <col min="16131" max="16131" width="21.125" style="2" customWidth="1"/>
    <col min="16132" max="16132" width="8.125" style="2" customWidth="1"/>
    <col min="16133" max="16133" width="17.75" style="2" customWidth="1"/>
    <col min="16134" max="16134" width="11.5" style="2" bestFit="1" customWidth="1"/>
    <col min="16135" max="16135" width="9" style="2"/>
    <col min="16136" max="16136" width="48.625" style="2" customWidth="1"/>
    <col min="16137" max="16384" width="9" style="2"/>
  </cols>
  <sheetData>
    <row r="1" spans="1:5" ht="32.25" customHeight="1" x14ac:dyDescent="0.2">
      <c r="A1" s="95" t="s">
        <v>249</v>
      </c>
      <c r="B1" s="95"/>
      <c r="C1" s="95"/>
      <c r="D1" s="95"/>
      <c r="E1" s="95"/>
    </row>
    <row r="2" spans="1:5" ht="28.5" x14ac:dyDescent="0.2">
      <c r="A2" s="3" t="s">
        <v>0</v>
      </c>
      <c r="B2" s="4" t="s">
        <v>1</v>
      </c>
      <c r="C2" s="4" t="s">
        <v>2</v>
      </c>
      <c r="D2" s="4" t="s">
        <v>243</v>
      </c>
      <c r="E2" s="52" t="s">
        <v>244</v>
      </c>
    </row>
    <row r="3" spans="1:5" s="1" customFormat="1" outlineLevel="2" x14ac:dyDescent="0.2">
      <c r="A3" s="92" t="s">
        <v>5</v>
      </c>
      <c r="B3" s="12" t="s">
        <v>10</v>
      </c>
      <c r="C3" s="12" t="s">
        <v>10</v>
      </c>
      <c r="D3" s="12">
        <v>1</v>
      </c>
      <c r="E3" s="8">
        <v>1500</v>
      </c>
    </row>
    <row r="4" spans="1:5" s="1" customFormat="1" outlineLevel="2" x14ac:dyDescent="0.2">
      <c r="A4" s="94"/>
      <c r="B4" s="12" t="s">
        <v>10</v>
      </c>
      <c r="C4" s="12" t="s">
        <v>11</v>
      </c>
      <c r="D4" s="12">
        <v>6</v>
      </c>
      <c r="E4" s="8">
        <v>8999.8799999999992</v>
      </c>
    </row>
    <row r="5" spans="1:5" s="1" customFormat="1" outlineLevel="1" x14ac:dyDescent="0.2">
      <c r="A5" s="61"/>
      <c r="B5" s="3" t="s">
        <v>12</v>
      </c>
      <c r="C5" s="12"/>
      <c r="D5" s="12">
        <f>SUBTOTAL(9,D3:D4)</f>
        <v>7</v>
      </c>
      <c r="E5" s="8">
        <f>SUBTOTAL(9,E3:E4)</f>
        <v>10499.88</v>
      </c>
    </row>
    <row r="6" spans="1:5" s="1" customFormat="1" outlineLevel="2" x14ac:dyDescent="0.2">
      <c r="A6" s="97" t="s">
        <v>9</v>
      </c>
      <c r="B6" s="12" t="s">
        <v>14</v>
      </c>
      <c r="C6" s="12" t="s">
        <v>15</v>
      </c>
      <c r="D6" s="14">
        <v>4</v>
      </c>
      <c r="E6" s="8">
        <v>5768.75</v>
      </c>
    </row>
    <row r="7" spans="1:5" s="1" customFormat="1" outlineLevel="2" x14ac:dyDescent="0.2">
      <c r="A7" s="97"/>
      <c r="B7" s="12" t="s">
        <v>14</v>
      </c>
      <c r="C7" s="12" t="s">
        <v>16</v>
      </c>
      <c r="D7" s="12">
        <v>1</v>
      </c>
      <c r="E7" s="8">
        <v>1477.85</v>
      </c>
    </row>
    <row r="8" spans="1:5" s="1" customFormat="1" outlineLevel="2" x14ac:dyDescent="0.2">
      <c r="A8" s="97"/>
      <c r="B8" s="12" t="s">
        <v>14</v>
      </c>
      <c r="C8" s="12" t="s">
        <v>17</v>
      </c>
      <c r="D8" s="14">
        <v>1</v>
      </c>
      <c r="E8" s="8">
        <v>1500</v>
      </c>
    </row>
    <row r="9" spans="1:5" s="1" customFormat="1" outlineLevel="1" x14ac:dyDescent="0.2">
      <c r="A9" s="59"/>
      <c r="B9" s="3" t="s">
        <v>19</v>
      </c>
      <c r="C9" s="12"/>
      <c r="D9" s="14">
        <f>SUBTOTAL(9,D6:D8)</f>
        <v>6</v>
      </c>
      <c r="E9" s="8">
        <f>SUBTOTAL(9,E6:E8)</f>
        <v>8746.6</v>
      </c>
    </row>
    <row r="10" spans="1:5" s="1" customFormat="1" outlineLevel="2" x14ac:dyDescent="0.2">
      <c r="A10" s="92" t="s">
        <v>13</v>
      </c>
      <c r="B10" s="12" t="s">
        <v>21</v>
      </c>
      <c r="C10" s="12" t="s">
        <v>22</v>
      </c>
      <c r="D10" s="14">
        <v>2</v>
      </c>
      <c r="E10" s="8">
        <v>2889.9</v>
      </c>
    </row>
    <row r="11" spans="1:5" s="1" customFormat="1" outlineLevel="2" x14ac:dyDescent="0.2">
      <c r="A11" s="93"/>
      <c r="B11" s="14" t="s">
        <v>21</v>
      </c>
      <c r="C11" s="14" t="s">
        <v>21</v>
      </c>
      <c r="D11" s="12">
        <v>1</v>
      </c>
      <c r="E11" s="8">
        <v>1500</v>
      </c>
    </row>
    <row r="12" spans="1:5" s="1" customFormat="1" outlineLevel="2" x14ac:dyDescent="0.2">
      <c r="A12" s="93"/>
      <c r="B12" s="12" t="s">
        <v>21</v>
      </c>
      <c r="C12" s="17" t="s">
        <v>25</v>
      </c>
      <c r="D12" s="12">
        <v>3</v>
      </c>
      <c r="E12" s="8">
        <v>4500</v>
      </c>
    </row>
    <row r="13" spans="1:5" s="1" customFormat="1" outlineLevel="2" x14ac:dyDescent="0.2">
      <c r="A13" s="93"/>
      <c r="B13" s="12" t="s">
        <v>21</v>
      </c>
      <c r="C13" s="12" t="s">
        <v>27</v>
      </c>
      <c r="D13" s="14">
        <v>3</v>
      </c>
      <c r="E13" s="8">
        <v>4482.17</v>
      </c>
    </row>
    <row r="14" spans="1:5" s="1" customFormat="1" outlineLevel="2" x14ac:dyDescent="0.2">
      <c r="A14" s="94"/>
      <c r="B14" s="12" t="s">
        <v>21</v>
      </c>
      <c r="C14" s="12" t="s">
        <v>28</v>
      </c>
      <c r="D14" s="14">
        <v>13</v>
      </c>
      <c r="E14" s="8">
        <v>19282.37</v>
      </c>
    </row>
    <row r="15" spans="1:5" s="1" customFormat="1" outlineLevel="1" x14ac:dyDescent="0.2">
      <c r="A15" s="61"/>
      <c r="B15" s="66" t="s">
        <v>29</v>
      </c>
      <c r="C15" s="12"/>
      <c r="D15" s="14">
        <f>SUBTOTAL(9,D10:D14)</f>
        <v>22</v>
      </c>
      <c r="E15" s="8">
        <f>SUBTOTAL(9,E10:E14)</f>
        <v>32654.44</v>
      </c>
    </row>
    <row r="16" spans="1:5" s="1" customFormat="1" outlineLevel="2" x14ac:dyDescent="0.2">
      <c r="A16" s="97" t="s">
        <v>20</v>
      </c>
      <c r="B16" s="63" t="s">
        <v>31</v>
      </c>
      <c r="C16" s="12" t="s">
        <v>32</v>
      </c>
      <c r="D16" s="14">
        <v>7</v>
      </c>
      <c r="E16" s="8">
        <v>8441.9699999999993</v>
      </c>
    </row>
    <row r="17" spans="1:8" s="1" customFormat="1" outlineLevel="2" x14ac:dyDescent="0.2">
      <c r="A17" s="97"/>
      <c r="B17" s="64" t="s">
        <v>31</v>
      </c>
      <c r="C17" s="14" t="s">
        <v>34</v>
      </c>
      <c r="D17" s="14">
        <v>2</v>
      </c>
      <c r="E17" s="8">
        <v>2573.5</v>
      </c>
    </row>
    <row r="18" spans="1:8" s="1" customFormat="1" outlineLevel="2" x14ac:dyDescent="0.2">
      <c r="A18" s="92"/>
      <c r="B18" s="63" t="s">
        <v>31</v>
      </c>
      <c r="C18" s="14" t="s">
        <v>36</v>
      </c>
      <c r="D18" s="14">
        <v>2</v>
      </c>
      <c r="E18" s="8">
        <v>3000</v>
      </c>
    </row>
    <row r="19" spans="1:8" s="1" customFormat="1" outlineLevel="1" x14ac:dyDescent="0.2">
      <c r="A19" s="60"/>
      <c r="B19" s="66" t="s">
        <v>39</v>
      </c>
      <c r="C19" s="14"/>
      <c r="D19" s="14">
        <f>SUBTOTAL(9,D16:D18)</f>
        <v>11</v>
      </c>
      <c r="E19" s="8">
        <f>SUBTOTAL(9,E16:E18)</f>
        <v>14015.47</v>
      </c>
    </row>
    <row r="20" spans="1:8" s="1" customFormat="1" outlineLevel="2" x14ac:dyDescent="0.2">
      <c r="A20" s="94"/>
      <c r="B20" s="63" t="s">
        <v>41</v>
      </c>
      <c r="C20" s="12" t="s">
        <v>43</v>
      </c>
      <c r="D20" s="18">
        <v>17</v>
      </c>
      <c r="E20" s="8">
        <v>22269.119999999999</v>
      </c>
    </row>
    <row r="21" spans="1:8" s="1" customFormat="1" outlineLevel="2" x14ac:dyDescent="0.2">
      <c r="A21" s="97"/>
      <c r="B21" s="63" t="s">
        <v>41</v>
      </c>
      <c r="C21" s="12" t="s">
        <v>44</v>
      </c>
      <c r="D21" s="12">
        <v>2</v>
      </c>
      <c r="E21" s="8">
        <v>2970.01</v>
      </c>
      <c r="H21" s="65"/>
    </row>
    <row r="22" spans="1:8" s="1" customFormat="1" outlineLevel="2" x14ac:dyDescent="0.2">
      <c r="A22" s="97"/>
      <c r="B22" s="63" t="s">
        <v>41</v>
      </c>
      <c r="C22" s="12" t="s">
        <v>45</v>
      </c>
      <c r="D22" s="12">
        <v>2</v>
      </c>
      <c r="E22" s="8">
        <v>2998</v>
      </c>
    </row>
    <row r="23" spans="1:8" s="1" customFormat="1" outlineLevel="2" x14ac:dyDescent="0.2">
      <c r="A23" s="97"/>
      <c r="B23" s="63" t="s">
        <v>41</v>
      </c>
      <c r="C23" s="12" t="s">
        <v>46</v>
      </c>
      <c r="D23" s="12">
        <v>71</v>
      </c>
      <c r="E23" s="8">
        <v>103913.28</v>
      </c>
    </row>
    <row r="24" spans="1:8" s="1" customFormat="1" outlineLevel="2" x14ac:dyDescent="0.2">
      <c r="A24" s="97"/>
      <c r="B24" s="63" t="s">
        <v>41</v>
      </c>
      <c r="C24" s="12" t="s">
        <v>47</v>
      </c>
      <c r="D24" s="12">
        <v>2</v>
      </c>
      <c r="E24" s="8">
        <v>3000</v>
      </c>
    </row>
    <row r="25" spans="1:8" s="1" customFormat="1" outlineLevel="2" x14ac:dyDescent="0.2">
      <c r="A25" s="97"/>
      <c r="B25" s="63" t="s">
        <v>41</v>
      </c>
      <c r="C25" s="12" t="s">
        <v>167</v>
      </c>
      <c r="D25" s="12">
        <v>1</v>
      </c>
      <c r="E25" s="8">
        <v>1500</v>
      </c>
    </row>
    <row r="26" spans="1:8" s="1" customFormat="1" outlineLevel="2" x14ac:dyDescent="0.2">
      <c r="A26" s="97"/>
      <c r="B26" s="63" t="s">
        <v>41</v>
      </c>
      <c r="C26" s="12" t="s">
        <v>50</v>
      </c>
      <c r="D26" s="12">
        <v>17</v>
      </c>
      <c r="E26" s="8">
        <v>24593.53</v>
      </c>
    </row>
    <row r="27" spans="1:8" s="1" customFormat="1" outlineLevel="2" x14ac:dyDescent="0.2">
      <c r="A27" s="97"/>
      <c r="B27" s="63" t="s">
        <v>41</v>
      </c>
      <c r="C27" s="12" t="s">
        <v>55</v>
      </c>
      <c r="D27" s="12">
        <v>2</v>
      </c>
      <c r="E27" s="8">
        <v>2946.96</v>
      </c>
    </row>
    <row r="28" spans="1:8" s="1" customFormat="1" outlineLevel="1" x14ac:dyDescent="0.2">
      <c r="A28" s="59"/>
      <c r="B28" s="66" t="s">
        <v>58</v>
      </c>
      <c r="C28" s="12"/>
      <c r="D28" s="12">
        <f>SUBTOTAL(9,D20:D27)</f>
        <v>114</v>
      </c>
      <c r="E28" s="8">
        <f>SUBTOTAL(9,E20:E27)</f>
        <v>164190.9</v>
      </c>
    </row>
    <row r="29" spans="1:8" s="1" customFormat="1" outlineLevel="2" x14ac:dyDescent="0.2">
      <c r="A29" s="92" t="s">
        <v>30</v>
      </c>
      <c r="B29" s="12" t="s">
        <v>60</v>
      </c>
      <c r="C29" s="12" t="s">
        <v>61</v>
      </c>
      <c r="D29" s="12">
        <v>8</v>
      </c>
      <c r="E29" s="8">
        <v>11912.27</v>
      </c>
    </row>
    <row r="30" spans="1:8" s="1" customFormat="1" outlineLevel="2" x14ac:dyDescent="0.2">
      <c r="A30" s="94"/>
      <c r="B30" s="12" t="s">
        <v>60</v>
      </c>
      <c r="C30" s="12" t="s">
        <v>62</v>
      </c>
      <c r="D30" s="12">
        <v>1</v>
      </c>
      <c r="E30" s="8">
        <v>1500</v>
      </c>
    </row>
    <row r="31" spans="1:8" s="1" customFormat="1" outlineLevel="1" x14ac:dyDescent="0.2">
      <c r="A31" s="61"/>
      <c r="B31" s="3" t="s">
        <v>63</v>
      </c>
      <c r="C31" s="12"/>
      <c r="D31" s="12">
        <f>SUBTOTAL(9,D29:D30)</f>
        <v>9</v>
      </c>
      <c r="E31" s="8">
        <f>SUBTOTAL(9,E29:E30)</f>
        <v>13412.27</v>
      </c>
    </row>
    <row r="32" spans="1:8" s="1" customFormat="1" outlineLevel="2" x14ac:dyDescent="0.2">
      <c r="A32" s="97" t="s">
        <v>40</v>
      </c>
      <c r="B32" s="12" t="s">
        <v>65</v>
      </c>
      <c r="C32" s="12" t="s">
        <v>66</v>
      </c>
      <c r="D32" s="12">
        <v>1</v>
      </c>
      <c r="E32" s="8">
        <v>1500</v>
      </c>
    </row>
    <row r="33" spans="1:8" s="1" customFormat="1" outlineLevel="2" x14ac:dyDescent="0.2">
      <c r="A33" s="97"/>
      <c r="B33" s="12" t="s">
        <v>65</v>
      </c>
      <c r="C33" s="12" t="s">
        <v>67</v>
      </c>
      <c r="D33" s="12">
        <v>1</v>
      </c>
      <c r="E33" s="8">
        <v>1445.78</v>
      </c>
    </row>
    <row r="34" spans="1:8" s="1" customFormat="1" outlineLevel="2" x14ac:dyDescent="0.2">
      <c r="A34" s="97"/>
      <c r="B34" s="12" t="s">
        <v>65</v>
      </c>
      <c r="C34" s="12" t="s">
        <v>68</v>
      </c>
      <c r="D34" s="12">
        <v>2</v>
      </c>
      <c r="E34" s="8">
        <v>3000</v>
      </c>
    </row>
    <row r="35" spans="1:8" s="1" customFormat="1" outlineLevel="2" x14ac:dyDescent="0.2">
      <c r="A35" s="97"/>
      <c r="B35" s="12" t="s">
        <v>65</v>
      </c>
      <c r="C35" s="12" t="s">
        <v>69</v>
      </c>
      <c r="D35" s="12">
        <v>2</v>
      </c>
      <c r="E35" s="8">
        <v>2980.33</v>
      </c>
    </row>
    <row r="36" spans="1:8" s="1" customFormat="1" outlineLevel="1" x14ac:dyDescent="0.2">
      <c r="A36" s="59"/>
      <c r="B36" s="3" t="s">
        <v>71</v>
      </c>
      <c r="C36" s="12"/>
      <c r="D36" s="12">
        <f>SUBTOTAL(9,D32:D35)</f>
        <v>6</v>
      </c>
      <c r="E36" s="8">
        <f>SUBTOTAL(9,E32:E35)</f>
        <v>8926.11</v>
      </c>
    </row>
    <row r="37" spans="1:8" s="1" customFormat="1" outlineLevel="2" x14ac:dyDescent="0.2">
      <c r="A37" s="92" t="s">
        <v>59</v>
      </c>
      <c r="B37" s="12" t="s">
        <v>73</v>
      </c>
      <c r="C37" s="12" t="s">
        <v>74</v>
      </c>
      <c r="D37" s="12">
        <v>11</v>
      </c>
      <c r="E37" s="8">
        <v>16173.68</v>
      </c>
    </row>
    <row r="38" spans="1:8" s="1" customFormat="1" outlineLevel="2" x14ac:dyDescent="0.2">
      <c r="A38" s="94"/>
      <c r="B38" s="12" t="s">
        <v>73</v>
      </c>
      <c r="C38" s="12" t="s">
        <v>76</v>
      </c>
      <c r="D38" s="12">
        <v>3</v>
      </c>
      <c r="E38" s="8">
        <v>4500</v>
      </c>
    </row>
    <row r="39" spans="1:8" s="1" customFormat="1" outlineLevel="1" x14ac:dyDescent="0.2">
      <c r="A39" s="61"/>
      <c r="B39" s="3" t="s">
        <v>77</v>
      </c>
      <c r="C39" s="12"/>
      <c r="D39" s="12">
        <f>SUBTOTAL(9,D37:D38)</f>
        <v>14</v>
      </c>
      <c r="E39" s="8">
        <f>SUBTOTAL(9,E37:E38)</f>
        <v>20673.68</v>
      </c>
    </row>
    <row r="40" spans="1:8" s="1" customFormat="1" outlineLevel="2" x14ac:dyDescent="0.2">
      <c r="A40" s="6" t="s">
        <v>64</v>
      </c>
      <c r="B40" s="12" t="s">
        <v>79</v>
      </c>
      <c r="C40" s="12" t="s">
        <v>80</v>
      </c>
      <c r="D40" s="12">
        <v>12</v>
      </c>
      <c r="E40" s="8">
        <v>14594.73</v>
      </c>
      <c r="H40" s="65"/>
    </row>
    <row r="41" spans="1:8" s="1" customFormat="1" outlineLevel="1" x14ac:dyDescent="0.2">
      <c r="A41" s="59"/>
      <c r="B41" s="3" t="s">
        <v>81</v>
      </c>
      <c r="C41" s="12"/>
      <c r="D41" s="12">
        <f>SUBTOTAL(9,D40:D40)</f>
        <v>12</v>
      </c>
      <c r="E41" s="8">
        <f>SUBTOTAL(9,E40:E40)</f>
        <v>14594.73</v>
      </c>
      <c r="H41" s="65"/>
    </row>
    <row r="42" spans="1:8" s="1" customFormat="1" outlineLevel="2" x14ac:dyDescent="0.2">
      <c r="A42" s="59" t="s">
        <v>72</v>
      </c>
      <c r="B42" s="12" t="s">
        <v>94</v>
      </c>
      <c r="C42" s="12" t="s">
        <v>95</v>
      </c>
      <c r="D42" s="12">
        <v>4</v>
      </c>
      <c r="E42" s="8">
        <v>5958.58</v>
      </c>
      <c r="H42" s="65"/>
    </row>
    <row r="43" spans="1:8" s="1" customFormat="1" outlineLevel="1" x14ac:dyDescent="0.2">
      <c r="A43" s="59"/>
      <c r="B43" s="3" t="s">
        <v>98</v>
      </c>
      <c r="C43" s="12"/>
      <c r="D43" s="12">
        <f>SUBTOTAL(9,D42:D42)</f>
        <v>4</v>
      </c>
      <c r="E43" s="8">
        <f>SUBTOTAL(9,E42:E42)</f>
        <v>5958.58</v>
      </c>
      <c r="H43" s="65"/>
    </row>
    <row r="44" spans="1:8" s="1" customFormat="1" outlineLevel="2" x14ac:dyDescent="0.2">
      <c r="A44" s="97" t="s">
        <v>78</v>
      </c>
      <c r="B44" s="7" t="s">
        <v>104</v>
      </c>
      <c r="C44" s="7" t="s">
        <v>105</v>
      </c>
      <c r="D44" s="7">
        <v>1</v>
      </c>
      <c r="E44" s="8">
        <v>1392.23</v>
      </c>
      <c r="H44" s="65"/>
    </row>
    <row r="45" spans="1:8" s="1" customFormat="1" outlineLevel="2" x14ac:dyDescent="0.2">
      <c r="A45" s="97"/>
      <c r="B45" s="7" t="s">
        <v>104</v>
      </c>
      <c r="C45" s="7" t="s">
        <v>108</v>
      </c>
      <c r="D45" s="7">
        <v>1</v>
      </c>
      <c r="E45" s="8">
        <v>1500</v>
      </c>
      <c r="H45" s="65"/>
    </row>
    <row r="46" spans="1:8" s="1" customFormat="1" ht="13.5" customHeight="1" outlineLevel="2" x14ac:dyDescent="0.2">
      <c r="A46" s="97"/>
      <c r="B46" s="12" t="s">
        <v>114</v>
      </c>
      <c r="C46" s="12" t="s">
        <v>115</v>
      </c>
      <c r="D46" s="12">
        <v>20</v>
      </c>
      <c r="E46" s="8">
        <v>28690.14</v>
      </c>
      <c r="H46" s="65"/>
    </row>
    <row r="47" spans="1:8" s="1" customFormat="1" ht="13.5" customHeight="1" outlineLevel="2" x14ac:dyDescent="0.2">
      <c r="A47" s="97"/>
      <c r="B47" s="12" t="s">
        <v>114</v>
      </c>
      <c r="C47" s="12" t="s">
        <v>116</v>
      </c>
      <c r="D47" s="12">
        <v>14</v>
      </c>
      <c r="E47" s="8">
        <v>20795.5</v>
      </c>
      <c r="H47" s="65"/>
    </row>
    <row r="48" spans="1:8" s="1" customFormat="1" ht="13.5" customHeight="1" outlineLevel="2" x14ac:dyDescent="0.2">
      <c r="A48" s="97"/>
      <c r="B48" s="12" t="s">
        <v>114</v>
      </c>
      <c r="C48" s="12" t="s">
        <v>117</v>
      </c>
      <c r="D48" s="12">
        <v>22</v>
      </c>
      <c r="E48" s="8">
        <v>31335.74</v>
      </c>
      <c r="H48" s="65"/>
    </row>
    <row r="49" spans="1:8" s="1" customFormat="1" ht="13.5" customHeight="1" outlineLevel="2" x14ac:dyDescent="0.2">
      <c r="A49" s="97"/>
      <c r="B49" s="12" t="s">
        <v>114</v>
      </c>
      <c r="C49" s="12" t="s">
        <v>119</v>
      </c>
      <c r="D49" s="14">
        <v>2</v>
      </c>
      <c r="E49" s="8">
        <v>1839.94</v>
      </c>
      <c r="H49" s="65"/>
    </row>
    <row r="50" spans="1:8" s="1" customFormat="1" ht="13.5" customHeight="1" outlineLevel="2" x14ac:dyDescent="0.2">
      <c r="A50" s="97"/>
      <c r="B50" s="12" t="s">
        <v>114</v>
      </c>
      <c r="C50" s="12" t="s">
        <v>104</v>
      </c>
      <c r="D50" s="14">
        <v>25</v>
      </c>
      <c r="E50" s="8">
        <v>36718.54</v>
      </c>
      <c r="H50" s="65"/>
    </row>
    <row r="51" spans="1:8" s="1" customFormat="1" ht="13.5" customHeight="1" outlineLevel="2" x14ac:dyDescent="0.2">
      <c r="A51" s="97"/>
      <c r="B51" s="12" t="s">
        <v>104</v>
      </c>
      <c r="C51" s="12" t="s">
        <v>245</v>
      </c>
      <c r="D51" s="14">
        <v>1</v>
      </c>
      <c r="E51" s="8">
        <v>1500</v>
      </c>
      <c r="H51" s="65"/>
    </row>
    <row r="52" spans="1:8" s="1" customFormat="1" ht="13.5" customHeight="1" outlineLevel="2" x14ac:dyDescent="0.2">
      <c r="A52" s="97"/>
      <c r="B52" s="12" t="s">
        <v>114</v>
      </c>
      <c r="C52" s="12" t="s">
        <v>120</v>
      </c>
      <c r="D52" s="12">
        <v>6</v>
      </c>
      <c r="E52" s="8">
        <v>8799</v>
      </c>
      <c r="H52" s="65"/>
    </row>
    <row r="53" spans="1:8" s="1" customFormat="1" ht="13.5" customHeight="1" outlineLevel="1" x14ac:dyDescent="0.2">
      <c r="A53" s="6"/>
      <c r="B53" s="3" t="s">
        <v>122</v>
      </c>
      <c r="C53" s="12"/>
      <c r="D53" s="12">
        <f>SUBTOTAL(9,D44:D52)</f>
        <v>92</v>
      </c>
      <c r="E53" s="8">
        <f>SUBTOTAL(9,E44:E52)</f>
        <v>132571.09</v>
      </c>
      <c r="H53" s="65"/>
    </row>
    <row r="54" spans="1:8" s="1" customFormat="1" ht="13.5" customHeight="1" outlineLevel="2" x14ac:dyDescent="0.2">
      <c r="A54" s="6" t="s">
        <v>82</v>
      </c>
      <c r="B54" s="12" t="s">
        <v>124</v>
      </c>
      <c r="C54" s="17" t="s">
        <v>127</v>
      </c>
      <c r="D54" s="12">
        <v>1</v>
      </c>
      <c r="E54" s="8">
        <v>1474.97</v>
      </c>
      <c r="H54" s="65"/>
    </row>
    <row r="55" spans="1:8" s="1" customFormat="1" ht="13.5" customHeight="1" outlineLevel="1" x14ac:dyDescent="0.2">
      <c r="A55" s="6"/>
      <c r="B55" s="3" t="s">
        <v>130</v>
      </c>
      <c r="C55" s="17"/>
      <c r="D55" s="12">
        <f>SUBTOTAL(9,D54:D54)</f>
        <v>1</v>
      </c>
      <c r="E55" s="8">
        <f>SUBTOTAL(9,E54:E54)</f>
        <v>1474.97</v>
      </c>
      <c r="H55" s="65"/>
    </row>
    <row r="56" spans="1:8" s="1" customFormat="1" ht="13.5" customHeight="1" outlineLevel="2" x14ac:dyDescent="0.2">
      <c r="A56" s="6" t="s">
        <v>87</v>
      </c>
      <c r="B56" s="12" t="s">
        <v>132</v>
      </c>
      <c r="C56" s="12" t="s">
        <v>132</v>
      </c>
      <c r="D56" s="14">
        <v>1</v>
      </c>
      <c r="E56" s="8">
        <v>1449</v>
      </c>
      <c r="H56" s="65"/>
    </row>
    <row r="57" spans="1:8" s="1" customFormat="1" ht="13.5" customHeight="1" outlineLevel="1" x14ac:dyDescent="0.2">
      <c r="A57" s="6"/>
      <c r="B57" s="3" t="s">
        <v>136</v>
      </c>
      <c r="C57" s="12"/>
      <c r="D57" s="14">
        <f>SUBTOTAL(9,D56:D56)</f>
        <v>1</v>
      </c>
      <c r="E57" s="8">
        <f>SUBTOTAL(9,E56:E56)</f>
        <v>1449</v>
      </c>
      <c r="H57" s="65"/>
    </row>
    <row r="58" spans="1:8" s="1" customFormat="1" ht="13.5" customHeight="1" outlineLevel="2" x14ac:dyDescent="0.2">
      <c r="A58" s="97" t="s">
        <v>93</v>
      </c>
      <c r="B58" s="12" t="s">
        <v>138</v>
      </c>
      <c r="C58" s="12" t="s">
        <v>140</v>
      </c>
      <c r="D58" s="12">
        <v>2</v>
      </c>
      <c r="E58" s="8">
        <v>2970.14</v>
      </c>
      <c r="H58" s="65"/>
    </row>
    <row r="59" spans="1:8" s="1" customFormat="1" ht="13.5" customHeight="1" outlineLevel="2" x14ac:dyDescent="0.2">
      <c r="A59" s="97"/>
      <c r="B59" s="12" t="s">
        <v>138</v>
      </c>
      <c r="C59" s="12" t="s">
        <v>142</v>
      </c>
      <c r="D59" s="12">
        <v>2</v>
      </c>
      <c r="E59" s="8">
        <v>2972.45</v>
      </c>
      <c r="H59" s="65"/>
    </row>
    <row r="60" spans="1:8" s="1" customFormat="1" ht="13.5" customHeight="1" outlineLevel="1" x14ac:dyDescent="0.2">
      <c r="A60" s="6"/>
      <c r="B60" s="3" t="s">
        <v>144</v>
      </c>
      <c r="C60" s="12"/>
      <c r="D60" s="12">
        <f>SUBTOTAL(9,D58:D59)</f>
        <v>4</v>
      </c>
      <c r="E60" s="8">
        <f>SUBTOTAL(9,E58:E59)</f>
        <v>5942.59</v>
      </c>
      <c r="H60" s="65"/>
    </row>
    <row r="61" spans="1:8" s="1" customFormat="1" ht="13.5" customHeight="1" outlineLevel="2" x14ac:dyDescent="0.2">
      <c r="A61" s="97" t="s">
        <v>99</v>
      </c>
      <c r="B61" s="12" t="s">
        <v>149</v>
      </c>
      <c r="C61" s="12" t="s">
        <v>151</v>
      </c>
      <c r="D61" s="12">
        <v>33</v>
      </c>
      <c r="E61" s="8">
        <v>48166.14</v>
      </c>
      <c r="H61" s="65"/>
    </row>
    <row r="62" spans="1:8" s="1" customFormat="1" ht="13.5" customHeight="1" outlineLevel="2" x14ac:dyDescent="0.2">
      <c r="A62" s="97"/>
      <c r="B62" s="12" t="s">
        <v>149</v>
      </c>
      <c r="C62" s="12" t="s">
        <v>149</v>
      </c>
      <c r="D62" s="12">
        <v>1</v>
      </c>
      <c r="E62" s="8">
        <v>1500</v>
      </c>
    </row>
    <row r="63" spans="1:8" s="1" customFormat="1" ht="13.5" customHeight="1" outlineLevel="1" x14ac:dyDescent="0.2">
      <c r="A63" s="6"/>
      <c r="B63" s="3" t="s">
        <v>152</v>
      </c>
      <c r="C63" s="12"/>
      <c r="D63" s="12">
        <f>SUBTOTAL(9,D61:D62)</f>
        <v>34</v>
      </c>
      <c r="E63" s="8">
        <f>SUBTOTAL(9,E61:E62)</f>
        <v>49666.14</v>
      </c>
    </row>
    <row r="64" spans="1:8" s="1" customFormat="1" ht="13.5" customHeight="1" x14ac:dyDescent="0.2">
      <c r="A64" s="6"/>
      <c r="B64" s="3" t="s">
        <v>153</v>
      </c>
      <c r="C64" s="3"/>
      <c r="D64" s="3">
        <f>SUBTOTAL(9,D3:D62)</f>
        <v>337</v>
      </c>
      <c r="E64" s="10">
        <f>SUBTOTAL(9,E3:E62)</f>
        <v>484776.44999999995</v>
      </c>
    </row>
    <row r="66" spans="1:4" s="1" customFormat="1" x14ac:dyDescent="0.2">
      <c r="A66" s="22"/>
      <c r="B66" s="2"/>
      <c r="C66" s="2"/>
      <c r="D66" s="2"/>
    </row>
    <row r="68" spans="1:4" s="1" customFormat="1" x14ac:dyDescent="0.2">
      <c r="A68" s="23"/>
      <c r="B68" s="2"/>
      <c r="C68" s="2"/>
      <c r="D68" s="2"/>
    </row>
  </sheetData>
  <protectedRanges>
    <protectedRange sqref="B3:D51" name="Zakres1"/>
    <protectedRange sqref="C62:C64" name="Zakres1_2"/>
    <protectedRange sqref="C62:C64" name="Zakres7_1"/>
    <protectedRange sqref="C52:C53" name="Zakres1_3"/>
    <protectedRange sqref="C52:C53" name="Zakres7_2"/>
    <protectedRange sqref="C54:C55" name="Zakres7_7"/>
    <protectedRange sqref="C56:C57" name="Zakres7_12"/>
    <protectedRange sqref="C58" name="Zakres7_17"/>
    <protectedRange sqref="C59:C60" name="Zakres7_19"/>
    <protectedRange sqref="C61" name="Zakres7_22"/>
  </protectedRanges>
  <autoFilter ref="A2:E62" xr:uid="{8EDF3A15-8227-43C5-A89C-E05E31D39566}">
    <sortState xmlns:xlrd2="http://schemas.microsoft.com/office/spreadsheetml/2017/richdata2" ref="A3:E62">
      <sortCondition ref="B2:B62"/>
    </sortState>
  </autoFilter>
  <mergeCells count="12">
    <mergeCell ref="A16:A18"/>
    <mergeCell ref="A20:A27"/>
    <mergeCell ref="A29:A30"/>
    <mergeCell ref="A1:E1"/>
    <mergeCell ref="A3:A4"/>
    <mergeCell ref="A6:A8"/>
    <mergeCell ref="A10:A14"/>
    <mergeCell ref="A61:A62"/>
    <mergeCell ref="A44:A52"/>
    <mergeCell ref="A58:A59"/>
    <mergeCell ref="A32:A35"/>
    <mergeCell ref="A37:A38"/>
  </mergeCells>
  <pageMargins left="0.98425196850393704" right="0.43307086614173229" top="0.59055118110236227" bottom="0.51181102362204722" header="0.19685039370078741" footer="0.19685039370078741"/>
  <pageSetup paperSize="9" orientation="portrait" r:id="rId1"/>
  <headerFooter>
    <oddHeader>&amp;RTabela nr 4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9FEBA-A78A-46E7-8AA2-843DBCFFDA36}">
  <sheetPr>
    <pageSetUpPr fitToPage="1"/>
  </sheetPr>
  <dimension ref="A1:D33"/>
  <sheetViews>
    <sheetView zoomScaleNormal="100" workbookViewId="0">
      <selection sqref="A1:D1"/>
    </sheetView>
  </sheetViews>
  <sheetFormatPr defaultRowHeight="14.25" outlineLevelRow="2" x14ac:dyDescent="0.2"/>
  <cols>
    <col min="1" max="1" width="7.875" style="67" customWidth="1"/>
    <col min="2" max="2" width="19.125" style="67" customWidth="1"/>
    <col min="3" max="3" width="20.25" style="67" customWidth="1"/>
    <col min="4" max="4" width="24" style="76" customWidth="1"/>
    <col min="5" max="16384" width="9" style="67"/>
  </cols>
  <sheetData>
    <row r="1" spans="1:4" ht="40.5" customHeight="1" x14ac:dyDescent="0.2">
      <c r="A1" s="101" t="s">
        <v>250</v>
      </c>
      <c r="B1" s="101"/>
      <c r="C1" s="101"/>
      <c r="D1" s="101"/>
    </row>
    <row r="2" spans="1:4" ht="20.25" customHeight="1" x14ac:dyDescent="0.2">
      <c r="A2" s="68" t="s">
        <v>0</v>
      </c>
      <c r="B2" s="68" t="s">
        <v>1</v>
      </c>
      <c r="C2" s="68" t="s">
        <v>2</v>
      </c>
      <c r="D2" s="69" t="s">
        <v>230</v>
      </c>
    </row>
    <row r="3" spans="1:4" outlineLevel="2" x14ac:dyDescent="0.2">
      <c r="A3" s="70" t="s">
        <v>5</v>
      </c>
      <c r="B3" s="71" t="s">
        <v>6</v>
      </c>
      <c r="C3" s="71" t="s">
        <v>198</v>
      </c>
      <c r="D3" s="72">
        <v>10000</v>
      </c>
    </row>
    <row r="4" spans="1:4" s="75" customFormat="1" outlineLevel="1" x14ac:dyDescent="0.2">
      <c r="A4" s="68"/>
      <c r="B4" s="73" t="s">
        <v>8</v>
      </c>
      <c r="C4" s="73"/>
      <c r="D4" s="74">
        <f>SUBTOTAL(9,D3:D3)</f>
        <v>10000</v>
      </c>
    </row>
    <row r="5" spans="1:4" outlineLevel="2" x14ac:dyDescent="0.2">
      <c r="A5" s="98" t="s">
        <v>9</v>
      </c>
      <c r="B5" s="71" t="s">
        <v>21</v>
      </c>
      <c r="C5" s="71" t="s">
        <v>25</v>
      </c>
      <c r="D5" s="72">
        <v>8000</v>
      </c>
    </row>
    <row r="6" spans="1:4" outlineLevel="2" x14ac:dyDescent="0.2">
      <c r="A6" s="99"/>
      <c r="B6" s="71" t="s">
        <v>21</v>
      </c>
      <c r="C6" s="71" t="s">
        <v>27</v>
      </c>
      <c r="D6" s="72">
        <v>10000</v>
      </c>
    </row>
    <row r="7" spans="1:4" outlineLevel="2" x14ac:dyDescent="0.2">
      <c r="A7" s="100"/>
      <c r="B7" s="71" t="s">
        <v>21</v>
      </c>
      <c r="C7" s="71" t="s">
        <v>28</v>
      </c>
      <c r="D7" s="72">
        <v>8000</v>
      </c>
    </row>
    <row r="8" spans="1:4" s="75" customFormat="1" outlineLevel="1" x14ac:dyDescent="0.2">
      <c r="A8" s="68"/>
      <c r="B8" s="73" t="s">
        <v>29</v>
      </c>
      <c r="C8" s="73"/>
      <c r="D8" s="74">
        <f>SUBTOTAL(9,D5:D7)</f>
        <v>26000</v>
      </c>
    </row>
    <row r="9" spans="1:4" outlineLevel="2" x14ac:dyDescent="0.2">
      <c r="A9" s="70" t="s">
        <v>13</v>
      </c>
      <c r="B9" s="71" t="s">
        <v>31</v>
      </c>
      <c r="C9" s="71" t="s">
        <v>34</v>
      </c>
      <c r="D9" s="72">
        <v>10000</v>
      </c>
    </row>
    <row r="10" spans="1:4" s="75" customFormat="1" outlineLevel="1" x14ac:dyDescent="0.2">
      <c r="A10" s="68"/>
      <c r="B10" s="73" t="s">
        <v>39</v>
      </c>
      <c r="C10" s="73"/>
      <c r="D10" s="74">
        <f>SUBTOTAL(9,D9:D9)</f>
        <v>10000</v>
      </c>
    </row>
    <row r="11" spans="1:4" outlineLevel="2" x14ac:dyDescent="0.2">
      <c r="A11" s="98" t="s">
        <v>20</v>
      </c>
      <c r="B11" s="71" t="s">
        <v>41</v>
      </c>
      <c r="C11" s="71" t="s">
        <v>43</v>
      </c>
      <c r="D11" s="72">
        <v>10000</v>
      </c>
    </row>
    <row r="12" spans="1:4" outlineLevel="2" x14ac:dyDescent="0.2">
      <c r="A12" s="99"/>
      <c r="B12" s="71" t="s">
        <v>41</v>
      </c>
      <c r="C12" s="71" t="s">
        <v>41</v>
      </c>
      <c r="D12" s="72">
        <v>9350</v>
      </c>
    </row>
    <row r="13" spans="1:4" outlineLevel="2" x14ac:dyDescent="0.2">
      <c r="A13" s="99"/>
      <c r="B13" s="71" t="s">
        <v>41</v>
      </c>
      <c r="C13" s="71" t="s">
        <v>165</v>
      </c>
      <c r="D13" s="72">
        <v>10000</v>
      </c>
    </row>
    <row r="14" spans="1:4" outlineLevel="2" x14ac:dyDescent="0.2">
      <c r="A14" s="100"/>
      <c r="B14" s="71" t="s">
        <v>41</v>
      </c>
      <c r="C14" s="71" t="s">
        <v>51</v>
      </c>
      <c r="D14" s="72">
        <v>10000</v>
      </c>
    </row>
    <row r="15" spans="1:4" s="75" customFormat="1" outlineLevel="1" x14ac:dyDescent="0.2">
      <c r="A15" s="68"/>
      <c r="B15" s="73" t="s">
        <v>58</v>
      </c>
      <c r="C15" s="73"/>
      <c r="D15" s="74">
        <f>SUBTOTAL(9,D11:D14)</f>
        <v>39350</v>
      </c>
    </row>
    <row r="16" spans="1:4" outlineLevel="2" x14ac:dyDescent="0.2">
      <c r="A16" s="98" t="s">
        <v>30</v>
      </c>
      <c r="B16" s="71" t="s">
        <v>65</v>
      </c>
      <c r="C16" s="71" t="s">
        <v>66</v>
      </c>
      <c r="D16" s="72">
        <v>10000</v>
      </c>
    </row>
    <row r="17" spans="1:4" outlineLevel="2" x14ac:dyDescent="0.2">
      <c r="A17" s="100"/>
      <c r="B17" s="71" t="s">
        <v>65</v>
      </c>
      <c r="C17" s="71" t="s">
        <v>68</v>
      </c>
      <c r="D17" s="72">
        <v>10000</v>
      </c>
    </row>
    <row r="18" spans="1:4" s="75" customFormat="1" outlineLevel="1" x14ac:dyDescent="0.2">
      <c r="A18" s="68"/>
      <c r="B18" s="73" t="s">
        <v>71</v>
      </c>
      <c r="C18" s="73"/>
      <c r="D18" s="74">
        <f>SUBTOTAL(9,D16:D17)</f>
        <v>20000</v>
      </c>
    </row>
    <row r="19" spans="1:4" outlineLevel="2" x14ac:dyDescent="0.2">
      <c r="A19" s="70" t="s">
        <v>40</v>
      </c>
      <c r="B19" s="71" t="s">
        <v>79</v>
      </c>
      <c r="C19" s="71" t="s">
        <v>79</v>
      </c>
      <c r="D19" s="72">
        <v>10000</v>
      </c>
    </row>
    <row r="20" spans="1:4" s="75" customFormat="1" outlineLevel="1" x14ac:dyDescent="0.2">
      <c r="A20" s="68"/>
      <c r="B20" s="73" t="s">
        <v>81</v>
      </c>
      <c r="C20" s="73"/>
      <c r="D20" s="74">
        <f>SUBTOTAL(9,D19:D19)</f>
        <v>10000</v>
      </c>
    </row>
    <row r="21" spans="1:4" outlineLevel="2" x14ac:dyDescent="0.2">
      <c r="A21" s="70" t="s">
        <v>59</v>
      </c>
      <c r="B21" s="71" t="s">
        <v>83</v>
      </c>
      <c r="C21" s="71" t="s">
        <v>84</v>
      </c>
      <c r="D21" s="72">
        <v>8000</v>
      </c>
    </row>
    <row r="22" spans="1:4" s="75" customFormat="1" outlineLevel="1" x14ac:dyDescent="0.2">
      <c r="A22" s="68"/>
      <c r="B22" s="73" t="s">
        <v>86</v>
      </c>
      <c r="C22" s="73"/>
      <c r="D22" s="74">
        <f>SUBTOTAL(9,D21:D21)</f>
        <v>8000</v>
      </c>
    </row>
    <row r="23" spans="1:4" outlineLevel="2" x14ac:dyDescent="0.2">
      <c r="A23" s="98" t="s">
        <v>64</v>
      </c>
      <c r="B23" s="71" t="s">
        <v>104</v>
      </c>
      <c r="C23" s="71" t="s">
        <v>105</v>
      </c>
      <c r="D23" s="72">
        <v>10000</v>
      </c>
    </row>
    <row r="24" spans="1:4" outlineLevel="2" x14ac:dyDescent="0.2">
      <c r="A24" s="99"/>
      <c r="B24" s="71" t="s">
        <v>104</v>
      </c>
      <c r="C24" s="71" t="s">
        <v>106</v>
      </c>
      <c r="D24" s="72">
        <v>10000</v>
      </c>
    </row>
    <row r="25" spans="1:4" outlineLevel="2" x14ac:dyDescent="0.2">
      <c r="A25" s="100"/>
      <c r="B25" s="71" t="s">
        <v>104</v>
      </c>
      <c r="C25" s="71" t="s">
        <v>104</v>
      </c>
      <c r="D25" s="72">
        <v>10000</v>
      </c>
    </row>
    <row r="26" spans="1:4" s="75" customFormat="1" outlineLevel="1" x14ac:dyDescent="0.2">
      <c r="A26" s="68"/>
      <c r="B26" s="73" t="s">
        <v>122</v>
      </c>
      <c r="C26" s="73"/>
      <c r="D26" s="74">
        <f>SUBTOTAL(9,D23:D25)</f>
        <v>30000</v>
      </c>
    </row>
    <row r="27" spans="1:4" outlineLevel="2" x14ac:dyDescent="0.2">
      <c r="A27" s="70" t="s">
        <v>72</v>
      </c>
      <c r="B27" s="71" t="s">
        <v>124</v>
      </c>
      <c r="C27" s="71" t="s">
        <v>124</v>
      </c>
      <c r="D27" s="72">
        <v>10000</v>
      </c>
    </row>
    <row r="28" spans="1:4" s="75" customFormat="1" outlineLevel="1" x14ac:dyDescent="0.2">
      <c r="A28" s="68"/>
      <c r="B28" s="73" t="s">
        <v>130</v>
      </c>
      <c r="C28" s="73"/>
      <c r="D28" s="74">
        <f>SUBTOTAL(9,D27:D27)</f>
        <v>10000</v>
      </c>
    </row>
    <row r="29" spans="1:4" outlineLevel="2" x14ac:dyDescent="0.2">
      <c r="A29" s="70" t="s">
        <v>78</v>
      </c>
      <c r="B29" s="71" t="s">
        <v>132</v>
      </c>
      <c r="C29" s="71" t="s">
        <v>132</v>
      </c>
      <c r="D29" s="72">
        <v>10000</v>
      </c>
    </row>
    <row r="30" spans="1:4" s="75" customFormat="1" outlineLevel="1" x14ac:dyDescent="0.2">
      <c r="A30" s="68"/>
      <c r="B30" s="73" t="s">
        <v>136</v>
      </c>
      <c r="C30" s="73"/>
      <c r="D30" s="74">
        <f>SUBTOTAL(9,D29:D29)</f>
        <v>10000</v>
      </c>
    </row>
    <row r="31" spans="1:4" outlineLevel="2" x14ac:dyDescent="0.2">
      <c r="A31" s="70" t="s">
        <v>82</v>
      </c>
      <c r="B31" s="71" t="s">
        <v>149</v>
      </c>
      <c r="C31" s="71" t="s">
        <v>150</v>
      </c>
      <c r="D31" s="72">
        <v>10000</v>
      </c>
    </row>
    <row r="32" spans="1:4" s="75" customFormat="1" ht="19.5" customHeight="1" outlineLevel="1" x14ac:dyDescent="0.2">
      <c r="A32" s="73"/>
      <c r="B32" s="73" t="s">
        <v>152</v>
      </c>
      <c r="C32" s="73"/>
      <c r="D32" s="74">
        <f>SUBTOTAL(9,D31:D31)</f>
        <v>10000</v>
      </c>
    </row>
    <row r="33" spans="1:4" s="75" customFormat="1" ht="19.5" customHeight="1" x14ac:dyDescent="0.2">
      <c r="A33" s="73"/>
      <c r="B33" s="73" t="s">
        <v>153</v>
      </c>
      <c r="C33" s="73"/>
      <c r="D33" s="74">
        <f>SUBTOTAL(9,D3:D31)</f>
        <v>183350</v>
      </c>
    </row>
  </sheetData>
  <autoFilter ref="A2:D31" xr:uid="{975DA873-5CC1-4173-AE88-5331E33B7CE7}">
    <sortState xmlns:xlrd2="http://schemas.microsoft.com/office/spreadsheetml/2017/richdata2" ref="A3:D31">
      <sortCondition ref="B2:B31"/>
    </sortState>
  </autoFilter>
  <mergeCells count="5">
    <mergeCell ref="A23:A25"/>
    <mergeCell ref="A1:D1"/>
    <mergeCell ref="A5:A7"/>
    <mergeCell ref="A11:A14"/>
    <mergeCell ref="A16:A17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&amp;RTabela nr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C09C-7AB2-411F-B906-FF7369A6D0D5}">
  <dimension ref="A1:E86"/>
  <sheetViews>
    <sheetView workbookViewId="0">
      <selection activeCell="C12" sqref="C12"/>
    </sheetView>
  </sheetViews>
  <sheetFormatPr defaultRowHeight="14.25" outlineLevelRow="2" x14ac:dyDescent="0.2"/>
  <cols>
    <col min="1" max="1" width="5.375" style="55" customWidth="1"/>
    <col min="2" max="2" width="20" style="49" customWidth="1"/>
    <col min="3" max="3" width="25" style="49" customWidth="1"/>
    <col min="4" max="4" width="23.625" style="50" customWidth="1"/>
    <col min="5" max="5" width="11.25" style="49" customWidth="1"/>
    <col min="6" max="10" width="9" style="49"/>
    <col min="11" max="11" width="10.25" style="49" bestFit="1" customWidth="1"/>
    <col min="12" max="256" width="9" style="49"/>
    <col min="257" max="257" width="5.375" style="49" customWidth="1"/>
    <col min="258" max="258" width="18.625" style="49" customWidth="1"/>
    <col min="259" max="259" width="19.75" style="49" customWidth="1"/>
    <col min="260" max="260" width="13.625" style="49" bestFit="1" customWidth="1"/>
    <col min="261" max="261" width="11.25" style="49" customWidth="1"/>
    <col min="262" max="266" width="9" style="49"/>
    <col min="267" max="267" width="10.25" style="49" bestFit="1" customWidth="1"/>
    <col min="268" max="512" width="9" style="49"/>
    <col min="513" max="513" width="5.375" style="49" customWidth="1"/>
    <col min="514" max="514" width="18.625" style="49" customWidth="1"/>
    <col min="515" max="515" width="19.75" style="49" customWidth="1"/>
    <col min="516" max="516" width="13.625" style="49" bestFit="1" customWidth="1"/>
    <col min="517" max="517" width="11.25" style="49" customWidth="1"/>
    <col min="518" max="522" width="9" style="49"/>
    <col min="523" max="523" width="10.25" style="49" bestFit="1" customWidth="1"/>
    <col min="524" max="768" width="9" style="49"/>
    <col min="769" max="769" width="5.375" style="49" customWidth="1"/>
    <col min="770" max="770" width="18.625" style="49" customWidth="1"/>
    <col min="771" max="771" width="19.75" style="49" customWidth="1"/>
    <col min="772" max="772" width="13.625" style="49" bestFit="1" customWidth="1"/>
    <col min="773" max="773" width="11.25" style="49" customWidth="1"/>
    <col min="774" max="778" width="9" style="49"/>
    <col min="779" max="779" width="10.25" style="49" bestFit="1" customWidth="1"/>
    <col min="780" max="1024" width="9" style="49"/>
    <col min="1025" max="1025" width="5.375" style="49" customWidth="1"/>
    <col min="1026" max="1026" width="18.625" style="49" customWidth="1"/>
    <col min="1027" max="1027" width="19.75" style="49" customWidth="1"/>
    <col min="1028" max="1028" width="13.625" style="49" bestFit="1" customWidth="1"/>
    <col min="1029" max="1029" width="11.25" style="49" customWidth="1"/>
    <col min="1030" max="1034" width="9" style="49"/>
    <col min="1035" max="1035" width="10.25" style="49" bestFit="1" customWidth="1"/>
    <col min="1036" max="1280" width="9" style="49"/>
    <col min="1281" max="1281" width="5.375" style="49" customWidth="1"/>
    <col min="1282" max="1282" width="18.625" style="49" customWidth="1"/>
    <col min="1283" max="1283" width="19.75" style="49" customWidth="1"/>
    <col min="1284" max="1284" width="13.625" style="49" bestFit="1" customWidth="1"/>
    <col min="1285" max="1285" width="11.25" style="49" customWidth="1"/>
    <col min="1286" max="1290" width="9" style="49"/>
    <col min="1291" max="1291" width="10.25" style="49" bestFit="1" customWidth="1"/>
    <col min="1292" max="1536" width="9" style="49"/>
    <col min="1537" max="1537" width="5.375" style="49" customWidth="1"/>
    <col min="1538" max="1538" width="18.625" style="49" customWidth="1"/>
    <col min="1539" max="1539" width="19.75" style="49" customWidth="1"/>
    <col min="1540" max="1540" width="13.625" style="49" bestFit="1" customWidth="1"/>
    <col min="1541" max="1541" width="11.25" style="49" customWidth="1"/>
    <col min="1542" max="1546" width="9" style="49"/>
    <col min="1547" max="1547" width="10.25" style="49" bestFit="1" customWidth="1"/>
    <col min="1548" max="1792" width="9" style="49"/>
    <col min="1793" max="1793" width="5.375" style="49" customWidth="1"/>
    <col min="1794" max="1794" width="18.625" style="49" customWidth="1"/>
    <col min="1795" max="1795" width="19.75" style="49" customWidth="1"/>
    <col min="1796" max="1796" width="13.625" style="49" bestFit="1" customWidth="1"/>
    <col min="1797" max="1797" width="11.25" style="49" customWidth="1"/>
    <col min="1798" max="1802" width="9" style="49"/>
    <col min="1803" max="1803" width="10.25" style="49" bestFit="1" customWidth="1"/>
    <col min="1804" max="2048" width="9" style="49"/>
    <col min="2049" max="2049" width="5.375" style="49" customWidth="1"/>
    <col min="2050" max="2050" width="18.625" style="49" customWidth="1"/>
    <col min="2051" max="2051" width="19.75" style="49" customWidth="1"/>
    <col min="2052" max="2052" width="13.625" style="49" bestFit="1" customWidth="1"/>
    <col min="2053" max="2053" width="11.25" style="49" customWidth="1"/>
    <col min="2054" max="2058" width="9" style="49"/>
    <col min="2059" max="2059" width="10.25" style="49" bestFit="1" customWidth="1"/>
    <col min="2060" max="2304" width="9" style="49"/>
    <col min="2305" max="2305" width="5.375" style="49" customWidth="1"/>
    <col min="2306" max="2306" width="18.625" style="49" customWidth="1"/>
    <col min="2307" max="2307" width="19.75" style="49" customWidth="1"/>
    <col min="2308" max="2308" width="13.625" style="49" bestFit="1" customWidth="1"/>
    <col min="2309" max="2309" width="11.25" style="49" customWidth="1"/>
    <col min="2310" max="2314" width="9" style="49"/>
    <col min="2315" max="2315" width="10.25" style="49" bestFit="1" customWidth="1"/>
    <col min="2316" max="2560" width="9" style="49"/>
    <col min="2561" max="2561" width="5.375" style="49" customWidth="1"/>
    <col min="2562" max="2562" width="18.625" style="49" customWidth="1"/>
    <col min="2563" max="2563" width="19.75" style="49" customWidth="1"/>
    <col min="2564" max="2564" width="13.625" style="49" bestFit="1" customWidth="1"/>
    <col min="2565" max="2565" width="11.25" style="49" customWidth="1"/>
    <col min="2566" max="2570" width="9" style="49"/>
    <col min="2571" max="2571" width="10.25" style="49" bestFit="1" customWidth="1"/>
    <col min="2572" max="2816" width="9" style="49"/>
    <col min="2817" max="2817" width="5.375" style="49" customWidth="1"/>
    <col min="2818" max="2818" width="18.625" style="49" customWidth="1"/>
    <col min="2819" max="2819" width="19.75" style="49" customWidth="1"/>
    <col min="2820" max="2820" width="13.625" style="49" bestFit="1" customWidth="1"/>
    <col min="2821" max="2821" width="11.25" style="49" customWidth="1"/>
    <col min="2822" max="2826" width="9" style="49"/>
    <col min="2827" max="2827" width="10.25" style="49" bestFit="1" customWidth="1"/>
    <col min="2828" max="3072" width="9" style="49"/>
    <col min="3073" max="3073" width="5.375" style="49" customWidth="1"/>
    <col min="3074" max="3074" width="18.625" style="49" customWidth="1"/>
    <col min="3075" max="3075" width="19.75" style="49" customWidth="1"/>
    <col min="3076" max="3076" width="13.625" style="49" bestFit="1" customWidth="1"/>
    <col min="3077" max="3077" width="11.25" style="49" customWidth="1"/>
    <col min="3078" max="3082" width="9" style="49"/>
    <col min="3083" max="3083" width="10.25" style="49" bestFit="1" customWidth="1"/>
    <col min="3084" max="3328" width="9" style="49"/>
    <col min="3329" max="3329" width="5.375" style="49" customWidth="1"/>
    <col min="3330" max="3330" width="18.625" style="49" customWidth="1"/>
    <col min="3331" max="3331" width="19.75" style="49" customWidth="1"/>
    <col min="3332" max="3332" width="13.625" style="49" bestFit="1" customWidth="1"/>
    <col min="3333" max="3333" width="11.25" style="49" customWidth="1"/>
    <col min="3334" max="3338" width="9" style="49"/>
    <col min="3339" max="3339" width="10.25" style="49" bestFit="1" customWidth="1"/>
    <col min="3340" max="3584" width="9" style="49"/>
    <col min="3585" max="3585" width="5.375" style="49" customWidth="1"/>
    <col min="3586" max="3586" width="18.625" style="49" customWidth="1"/>
    <col min="3587" max="3587" width="19.75" style="49" customWidth="1"/>
    <col min="3588" max="3588" width="13.625" style="49" bestFit="1" customWidth="1"/>
    <col min="3589" max="3589" width="11.25" style="49" customWidth="1"/>
    <col min="3590" max="3594" width="9" style="49"/>
    <col min="3595" max="3595" width="10.25" style="49" bestFit="1" customWidth="1"/>
    <col min="3596" max="3840" width="9" style="49"/>
    <col min="3841" max="3841" width="5.375" style="49" customWidth="1"/>
    <col min="3842" max="3842" width="18.625" style="49" customWidth="1"/>
    <col min="3843" max="3843" width="19.75" style="49" customWidth="1"/>
    <col min="3844" max="3844" width="13.625" style="49" bestFit="1" customWidth="1"/>
    <col min="3845" max="3845" width="11.25" style="49" customWidth="1"/>
    <col min="3846" max="3850" width="9" style="49"/>
    <col min="3851" max="3851" width="10.25" style="49" bestFit="1" customWidth="1"/>
    <col min="3852" max="4096" width="9" style="49"/>
    <col min="4097" max="4097" width="5.375" style="49" customWidth="1"/>
    <col min="4098" max="4098" width="18.625" style="49" customWidth="1"/>
    <col min="4099" max="4099" width="19.75" style="49" customWidth="1"/>
    <col min="4100" max="4100" width="13.625" style="49" bestFit="1" customWidth="1"/>
    <col min="4101" max="4101" width="11.25" style="49" customWidth="1"/>
    <col min="4102" max="4106" width="9" style="49"/>
    <col min="4107" max="4107" width="10.25" style="49" bestFit="1" customWidth="1"/>
    <col min="4108" max="4352" width="9" style="49"/>
    <col min="4353" max="4353" width="5.375" style="49" customWidth="1"/>
    <col min="4354" max="4354" width="18.625" style="49" customWidth="1"/>
    <col min="4355" max="4355" width="19.75" style="49" customWidth="1"/>
    <col min="4356" max="4356" width="13.625" style="49" bestFit="1" customWidth="1"/>
    <col min="4357" max="4357" width="11.25" style="49" customWidth="1"/>
    <col min="4358" max="4362" width="9" style="49"/>
    <col min="4363" max="4363" width="10.25" style="49" bestFit="1" customWidth="1"/>
    <col min="4364" max="4608" width="9" style="49"/>
    <col min="4609" max="4609" width="5.375" style="49" customWidth="1"/>
    <col min="4610" max="4610" width="18.625" style="49" customWidth="1"/>
    <col min="4611" max="4611" width="19.75" style="49" customWidth="1"/>
    <col min="4612" max="4612" width="13.625" style="49" bestFit="1" customWidth="1"/>
    <col min="4613" max="4613" width="11.25" style="49" customWidth="1"/>
    <col min="4614" max="4618" width="9" style="49"/>
    <col min="4619" max="4619" width="10.25" style="49" bestFit="1" customWidth="1"/>
    <col min="4620" max="4864" width="9" style="49"/>
    <col min="4865" max="4865" width="5.375" style="49" customWidth="1"/>
    <col min="4866" max="4866" width="18.625" style="49" customWidth="1"/>
    <col min="4867" max="4867" width="19.75" style="49" customWidth="1"/>
    <col min="4868" max="4868" width="13.625" style="49" bestFit="1" customWidth="1"/>
    <col min="4869" max="4869" width="11.25" style="49" customWidth="1"/>
    <col min="4870" max="4874" width="9" style="49"/>
    <col min="4875" max="4875" width="10.25" style="49" bestFit="1" customWidth="1"/>
    <col min="4876" max="5120" width="9" style="49"/>
    <col min="5121" max="5121" width="5.375" style="49" customWidth="1"/>
    <col min="5122" max="5122" width="18.625" style="49" customWidth="1"/>
    <col min="5123" max="5123" width="19.75" style="49" customWidth="1"/>
    <col min="5124" max="5124" width="13.625" style="49" bestFit="1" customWidth="1"/>
    <col min="5125" max="5125" width="11.25" style="49" customWidth="1"/>
    <col min="5126" max="5130" width="9" style="49"/>
    <col min="5131" max="5131" width="10.25" style="49" bestFit="1" customWidth="1"/>
    <col min="5132" max="5376" width="9" style="49"/>
    <col min="5377" max="5377" width="5.375" style="49" customWidth="1"/>
    <col min="5378" max="5378" width="18.625" style="49" customWidth="1"/>
    <col min="5379" max="5379" width="19.75" style="49" customWidth="1"/>
    <col min="5380" max="5380" width="13.625" style="49" bestFit="1" customWidth="1"/>
    <col min="5381" max="5381" width="11.25" style="49" customWidth="1"/>
    <col min="5382" max="5386" width="9" style="49"/>
    <col min="5387" max="5387" width="10.25" style="49" bestFit="1" customWidth="1"/>
    <col min="5388" max="5632" width="9" style="49"/>
    <col min="5633" max="5633" width="5.375" style="49" customWidth="1"/>
    <col min="5634" max="5634" width="18.625" style="49" customWidth="1"/>
    <col min="5635" max="5635" width="19.75" style="49" customWidth="1"/>
    <col min="5636" max="5636" width="13.625" style="49" bestFit="1" customWidth="1"/>
    <col min="5637" max="5637" width="11.25" style="49" customWidth="1"/>
    <col min="5638" max="5642" width="9" style="49"/>
    <col min="5643" max="5643" width="10.25" style="49" bestFit="1" customWidth="1"/>
    <col min="5644" max="5888" width="9" style="49"/>
    <col min="5889" max="5889" width="5.375" style="49" customWidth="1"/>
    <col min="5890" max="5890" width="18.625" style="49" customWidth="1"/>
    <col min="5891" max="5891" width="19.75" style="49" customWidth="1"/>
    <col min="5892" max="5892" width="13.625" style="49" bestFit="1" customWidth="1"/>
    <col min="5893" max="5893" width="11.25" style="49" customWidth="1"/>
    <col min="5894" max="5898" width="9" style="49"/>
    <col min="5899" max="5899" width="10.25" style="49" bestFit="1" customWidth="1"/>
    <col min="5900" max="6144" width="9" style="49"/>
    <col min="6145" max="6145" width="5.375" style="49" customWidth="1"/>
    <col min="6146" max="6146" width="18.625" style="49" customWidth="1"/>
    <col min="6147" max="6147" width="19.75" style="49" customWidth="1"/>
    <col min="6148" max="6148" width="13.625" style="49" bestFit="1" customWidth="1"/>
    <col min="6149" max="6149" width="11.25" style="49" customWidth="1"/>
    <col min="6150" max="6154" width="9" style="49"/>
    <col min="6155" max="6155" width="10.25" style="49" bestFit="1" customWidth="1"/>
    <col min="6156" max="6400" width="9" style="49"/>
    <col min="6401" max="6401" width="5.375" style="49" customWidth="1"/>
    <col min="6402" max="6402" width="18.625" style="49" customWidth="1"/>
    <col min="6403" max="6403" width="19.75" style="49" customWidth="1"/>
    <col min="6404" max="6404" width="13.625" style="49" bestFit="1" customWidth="1"/>
    <col min="6405" max="6405" width="11.25" style="49" customWidth="1"/>
    <col min="6406" max="6410" width="9" style="49"/>
    <col min="6411" max="6411" width="10.25" style="49" bestFit="1" customWidth="1"/>
    <col min="6412" max="6656" width="9" style="49"/>
    <col min="6657" max="6657" width="5.375" style="49" customWidth="1"/>
    <col min="6658" max="6658" width="18.625" style="49" customWidth="1"/>
    <col min="6659" max="6659" width="19.75" style="49" customWidth="1"/>
    <col min="6660" max="6660" width="13.625" style="49" bestFit="1" customWidth="1"/>
    <col min="6661" max="6661" width="11.25" style="49" customWidth="1"/>
    <col min="6662" max="6666" width="9" style="49"/>
    <col min="6667" max="6667" width="10.25" style="49" bestFit="1" customWidth="1"/>
    <col min="6668" max="6912" width="9" style="49"/>
    <col min="6913" max="6913" width="5.375" style="49" customWidth="1"/>
    <col min="6914" max="6914" width="18.625" style="49" customWidth="1"/>
    <col min="6915" max="6915" width="19.75" style="49" customWidth="1"/>
    <col min="6916" max="6916" width="13.625" style="49" bestFit="1" customWidth="1"/>
    <col min="6917" max="6917" width="11.25" style="49" customWidth="1"/>
    <col min="6918" max="6922" width="9" style="49"/>
    <col min="6923" max="6923" width="10.25" style="49" bestFit="1" customWidth="1"/>
    <col min="6924" max="7168" width="9" style="49"/>
    <col min="7169" max="7169" width="5.375" style="49" customWidth="1"/>
    <col min="7170" max="7170" width="18.625" style="49" customWidth="1"/>
    <col min="7171" max="7171" width="19.75" style="49" customWidth="1"/>
    <col min="7172" max="7172" width="13.625" style="49" bestFit="1" customWidth="1"/>
    <col min="7173" max="7173" width="11.25" style="49" customWidth="1"/>
    <col min="7174" max="7178" width="9" style="49"/>
    <col min="7179" max="7179" width="10.25" style="49" bestFit="1" customWidth="1"/>
    <col min="7180" max="7424" width="9" style="49"/>
    <col min="7425" max="7425" width="5.375" style="49" customWidth="1"/>
    <col min="7426" max="7426" width="18.625" style="49" customWidth="1"/>
    <col min="7427" max="7427" width="19.75" style="49" customWidth="1"/>
    <col min="7428" max="7428" width="13.625" style="49" bestFit="1" customWidth="1"/>
    <col min="7429" max="7429" width="11.25" style="49" customWidth="1"/>
    <col min="7430" max="7434" width="9" style="49"/>
    <col min="7435" max="7435" width="10.25" style="49" bestFit="1" customWidth="1"/>
    <col min="7436" max="7680" width="9" style="49"/>
    <col min="7681" max="7681" width="5.375" style="49" customWidth="1"/>
    <col min="7682" max="7682" width="18.625" style="49" customWidth="1"/>
    <col min="7683" max="7683" width="19.75" style="49" customWidth="1"/>
    <col min="7684" max="7684" width="13.625" style="49" bestFit="1" customWidth="1"/>
    <col min="7685" max="7685" width="11.25" style="49" customWidth="1"/>
    <col min="7686" max="7690" width="9" style="49"/>
    <col min="7691" max="7691" width="10.25" style="49" bestFit="1" customWidth="1"/>
    <col min="7692" max="7936" width="9" style="49"/>
    <col min="7937" max="7937" width="5.375" style="49" customWidth="1"/>
    <col min="7938" max="7938" width="18.625" style="49" customWidth="1"/>
    <col min="7939" max="7939" width="19.75" style="49" customWidth="1"/>
    <col min="7940" max="7940" width="13.625" style="49" bestFit="1" customWidth="1"/>
    <col min="7941" max="7941" width="11.25" style="49" customWidth="1"/>
    <col min="7942" max="7946" width="9" style="49"/>
    <col min="7947" max="7947" width="10.25" style="49" bestFit="1" customWidth="1"/>
    <col min="7948" max="8192" width="9" style="49"/>
    <col min="8193" max="8193" width="5.375" style="49" customWidth="1"/>
    <col min="8194" max="8194" width="18.625" style="49" customWidth="1"/>
    <col min="8195" max="8195" width="19.75" style="49" customWidth="1"/>
    <col min="8196" max="8196" width="13.625" style="49" bestFit="1" customWidth="1"/>
    <col min="8197" max="8197" width="11.25" style="49" customWidth="1"/>
    <col min="8198" max="8202" width="9" style="49"/>
    <col min="8203" max="8203" width="10.25" style="49" bestFit="1" customWidth="1"/>
    <col min="8204" max="8448" width="9" style="49"/>
    <col min="8449" max="8449" width="5.375" style="49" customWidth="1"/>
    <col min="8450" max="8450" width="18.625" style="49" customWidth="1"/>
    <col min="8451" max="8451" width="19.75" style="49" customWidth="1"/>
    <col min="8452" max="8452" width="13.625" style="49" bestFit="1" customWidth="1"/>
    <col min="8453" max="8453" width="11.25" style="49" customWidth="1"/>
    <col min="8454" max="8458" width="9" style="49"/>
    <col min="8459" max="8459" width="10.25" style="49" bestFit="1" customWidth="1"/>
    <col min="8460" max="8704" width="9" style="49"/>
    <col min="8705" max="8705" width="5.375" style="49" customWidth="1"/>
    <col min="8706" max="8706" width="18.625" style="49" customWidth="1"/>
    <col min="8707" max="8707" width="19.75" style="49" customWidth="1"/>
    <col min="8708" max="8708" width="13.625" style="49" bestFit="1" customWidth="1"/>
    <col min="8709" max="8709" width="11.25" style="49" customWidth="1"/>
    <col min="8710" max="8714" width="9" style="49"/>
    <col min="8715" max="8715" width="10.25" style="49" bestFit="1" customWidth="1"/>
    <col min="8716" max="8960" width="9" style="49"/>
    <col min="8961" max="8961" width="5.375" style="49" customWidth="1"/>
    <col min="8962" max="8962" width="18.625" style="49" customWidth="1"/>
    <col min="8963" max="8963" width="19.75" style="49" customWidth="1"/>
    <col min="8964" max="8964" width="13.625" style="49" bestFit="1" customWidth="1"/>
    <col min="8965" max="8965" width="11.25" style="49" customWidth="1"/>
    <col min="8966" max="8970" width="9" style="49"/>
    <col min="8971" max="8971" width="10.25" style="49" bestFit="1" customWidth="1"/>
    <col min="8972" max="9216" width="9" style="49"/>
    <col min="9217" max="9217" width="5.375" style="49" customWidth="1"/>
    <col min="9218" max="9218" width="18.625" style="49" customWidth="1"/>
    <col min="9219" max="9219" width="19.75" style="49" customWidth="1"/>
    <col min="9220" max="9220" width="13.625" style="49" bestFit="1" customWidth="1"/>
    <col min="9221" max="9221" width="11.25" style="49" customWidth="1"/>
    <col min="9222" max="9226" width="9" style="49"/>
    <col min="9227" max="9227" width="10.25" style="49" bestFit="1" customWidth="1"/>
    <col min="9228" max="9472" width="9" style="49"/>
    <col min="9473" max="9473" width="5.375" style="49" customWidth="1"/>
    <col min="9474" max="9474" width="18.625" style="49" customWidth="1"/>
    <col min="9475" max="9475" width="19.75" style="49" customWidth="1"/>
    <col min="9476" max="9476" width="13.625" style="49" bestFit="1" customWidth="1"/>
    <col min="9477" max="9477" width="11.25" style="49" customWidth="1"/>
    <col min="9478" max="9482" width="9" style="49"/>
    <col min="9483" max="9483" width="10.25" style="49" bestFit="1" customWidth="1"/>
    <col min="9484" max="9728" width="9" style="49"/>
    <col min="9729" max="9729" width="5.375" style="49" customWidth="1"/>
    <col min="9730" max="9730" width="18.625" style="49" customWidth="1"/>
    <col min="9731" max="9731" width="19.75" style="49" customWidth="1"/>
    <col min="9732" max="9732" width="13.625" style="49" bestFit="1" customWidth="1"/>
    <col min="9733" max="9733" width="11.25" style="49" customWidth="1"/>
    <col min="9734" max="9738" width="9" style="49"/>
    <col min="9739" max="9739" width="10.25" style="49" bestFit="1" customWidth="1"/>
    <col min="9740" max="9984" width="9" style="49"/>
    <col min="9985" max="9985" width="5.375" style="49" customWidth="1"/>
    <col min="9986" max="9986" width="18.625" style="49" customWidth="1"/>
    <col min="9987" max="9987" width="19.75" style="49" customWidth="1"/>
    <col min="9988" max="9988" width="13.625" style="49" bestFit="1" customWidth="1"/>
    <col min="9989" max="9989" width="11.25" style="49" customWidth="1"/>
    <col min="9990" max="9994" width="9" style="49"/>
    <col min="9995" max="9995" width="10.25" style="49" bestFit="1" customWidth="1"/>
    <col min="9996" max="10240" width="9" style="49"/>
    <col min="10241" max="10241" width="5.375" style="49" customWidth="1"/>
    <col min="10242" max="10242" width="18.625" style="49" customWidth="1"/>
    <col min="10243" max="10243" width="19.75" style="49" customWidth="1"/>
    <col min="10244" max="10244" width="13.625" style="49" bestFit="1" customWidth="1"/>
    <col min="10245" max="10245" width="11.25" style="49" customWidth="1"/>
    <col min="10246" max="10250" width="9" style="49"/>
    <col min="10251" max="10251" width="10.25" style="49" bestFit="1" customWidth="1"/>
    <col min="10252" max="10496" width="9" style="49"/>
    <col min="10497" max="10497" width="5.375" style="49" customWidth="1"/>
    <col min="10498" max="10498" width="18.625" style="49" customWidth="1"/>
    <col min="10499" max="10499" width="19.75" style="49" customWidth="1"/>
    <col min="10500" max="10500" width="13.625" style="49" bestFit="1" customWidth="1"/>
    <col min="10501" max="10501" width="11.25" style="49" customWidth="1"/>
    <col min="10502" max="10506" width="9" style="49"/>
    <col min="10507" max="10507" width="10.25" style="49" bestFit="1" customWidth="1"/>
    <col min="10508" max="10752" width="9" style="49"/>
    <col min="10753" max="10753" width="5.375" style="49" customWidth="1"/>
    <col min="10754" max="10754" width="18.625" style="49" customWidth="1"/>
    <col min="10755" max="10755" width="19.75" style="49" customWidth="1"/>
    <col min="10756" max="10756" width="13.625" style="49" bestFit="1" customWidth="1"/>
    <col min="10757" max="10757" width="11.25" style="49" customWidth="1"/>
    <col min="10758" max="10762" width="9" style="49"/>
    <col min="10763" max="10763" width="10.25" style="49" bestFit="1" customWidth="1"/>
    <col min="10764" max="11008" width="9" style="49"/>
    <col min="11009" max="11009" width="5.375" style="49" customWidth="1"/>
    <col min="11010" max="11010" width="18.625" style="49" customWidth="1"/>
    <col min="11011" max="11011" width="19.75" style="49" customWidth="1"/>
    <col min="11012" max="11012" width="13.625" style="49" bestFit="1" customWidth="1"/>
    <col min="11013" max="11013" width="11.25" style="49" customWidth="1"/>
    <col min="11014" max="11018" width="9" style="49"/>
    <col min="11019" max="11019" width="10.25" style="49" bestFit="1" customWidth="1"/>
    <col min="11020" max="11264" width="9" style="49"/>
    <col min="11265" max="11265" width="5.375" style="49" customWidth="1"/>
    <col min="11266" max="11266" width="18.625" style="49" customWidth="1"/>
    <col min="11267" max="11267" width="19.75" style="49" customWidth="1"/>
    <col min="11268" max="11268" width="13.625" style="49" bestFit="1" customWidth="1"/>
    <col min="11269" max="11269" width="11.25" style="49" customWidth="1"/>
    <col min="11270" max="11274" width="9" style="49"/>
    <col min="11275" max="11275" width="10.25" style="49" bestFit="1" customWidth="1"/>
    <col min="11276" max="11520" width="9" style="49"/>
    <col min="11521" max="11521" width="5.375" style="49" customWidth="1"/>
    <col min="11522" max="11522" width="18.625" style="49" customWidth="1"/>
    <col min="11523" max="11523" width="19.75" style="49" customWidth="1"/>
    <col min="11524" max="11524" width="13.625" style="49" bestFit="1" customWidth="1"/>
    <col min="11525" max="11525" width="11.25" style="49" customWidth="1"/>
    <col min="11526" max="11530" width="9" style="49"/>
    <col min="11531" max="11531" width="10.25" style="49" bestFit="1" customWidth="1"/>
    <col min="11532" max="11776" width="9" style="49"/>
    <col min="11777" max="11777" width="5.375" style="49" customWidth="1"/>
    <col min="11778" max="11778" width="18.625" style="49" customWidth="1"/>
    <col min="11779" max="11779" width="19.75" style="49" customWidth="1"/>
    <col min="11780" max="11780" width="13.625" style="49" bestFit="1" customWidth="1"/>
    <col min="11781" max="11781" width="11.25" style="49" customWidth="1"/>
    <col min="11782" max="11786" width="9" style="49"/>
    <col min="11787" max="11787" width="10.25" style="49" bestFit="1" customWidth="1"/>
    <col min="11788" max="12032" width="9" style="49"/>
    <col min="12033" max="12033" width="5.375" style="49" customWidth="1"/>
    <col min="12034" max="12034" width="18.625" style="49" customWidth="1"/>
    <col min="12035" max="12035" width="19.75" style="49" customWidth="1"/>
    <col min="12036" max="12036" width="13.625" style="49" bestFit="1" customWidth="1"/>
    <col min="12037" max="12037" width="11.25" style="49" customWidth="1"/>
    <col min="12038" max="12042" width="9" style="49"/>
    <col min="12043" max="12043" width="10.25" style="49" bestFit="1" customWidth="1"/>
    <col min="12044" max="12288" width="9" style="49"/>
    <col min="12289" max="12289" width="5.375" style="49" customWidth="1"/>
    <col min="12290" max="12290" width="18.625" style="49" customWidth="1"/>
    <col min="12291" max="12291" width="19.75" style="49" customWidth="1"/>
    <col min="12292" max="12292" width="13.625" style="49" bestFit="1" customWidth="1"/>
    <col min="12293" max="12293" width="11.25" style="49" customWidth="1"/>
    <col min="12294" max="12298" width="9" style="49"/>
    <col min="12299" max="12299" width="10.25" style="49" bestFit="1" customWidth="1"/>
    <col min="12300" max="12544" width="9" style="49"/>
    <col min="12545" max="12545" width="5.375" style="49" customWidth="1"/>
    <col min="12546" max="12546" width="18.625" style="49" customWidth="1"/>
    <col min="12547" max="12547" width="19.75" style="49" customWidth="1"/>
    <col min="12548" max="12548" width="13.625" style="49" bestFit="1" customWidth="1"/>
    <col min="12549" max="12549" width="11.25" style="49" customWidth="1"/>
    <col min="12550" max="12554" width="9" style="49"/>
    <col min="12555" max="12555" width="10.25" style="49" bestFit="1" customWidth="1"/>
    <col min="12556" max="12800" width="9" style="49"/>
    <col min="12801" max="12801" width="5.375" style="49" customWidth="1"/>
    <col min="12802" max="12802" width="18.625" style="49" customWidth="1"/>
    <col min="12803" max="12803" width="19.75" style="49" customWidth="1"/>
    <col min="12804" max="12804" width="13.625" style="49" bestFit="1" customWidth="1"/>
    <col min="12805" max="12805" width="11.25" style="49" customWidth="1"/>
    <col min="12806" max="12810" width="9" style="49"/>
    <col min="12811" max="12811" width="10.25" style="49" bestFit="1" customWidth="1"/>
    <col min="12812" max="13056" width="9" style="49"/>
    <col min="13057" max="13057" width="5.375" style="49" customWidth="1"/>
    <col min="13058" max="13058" width="18.625" style="49" customWidth="1"/>
    <col min="13059" max="13059" width="19.75" style="49" customWidth="1"/>
    <col min="13060" max="13060" width="13.625" style="49" bestFit="1" customWidth="1"/>
    <col min="13061" max="13061" width="11.25" style="49" customWidth="1"/>
    <col min="13062" max="13066" width="9" style="49"/>
    <col min="13067" max="13067" width="10.25" style="49" bestFit="1" customWidth="1"/>
    <col min="13068" max="13312" width="9" style="49"/>
    <col min="13313" max="13313" width="5.375" style="49" customWidth="1"/>
    <col min="13314" max="13314" width="18.625" style="49" customWidth="1"/>
    <col min="13315" max="13315" width="19.75" style="49" customWidth="1"/>
    <col min="13316" max="13316" width="13.625" style="49" bestFit="1" customWidth="1"/>
    <col min="13317" max="13317" width="11.25" style="49" customWidth="1"/>
    <col min="13318" max="13322" width="9" style="49"/>
    <col min="13323" max="13323" width="10.25" style="49" bestFit="1" customWidth="1"/>
    <col min="13324" max="13568" width="9" style="49"/>
    <col min="13569" max="13569" width="5.375" style="49" customWidth="1"/>
    <col min="13570" max="13570" width="18.625" style="49" customWidth="1"/>
    <col min="13571" max="13571" width="19.75" style="49" customWidth="1"/>
    <col min="13572" max="13572" width="13.625" style="49" bestFit="1" customWidth="1"/>
    <col min="13573" max="13573" width="11.25" style="49" customWidth="1"/>
    <col min="13574" max="13578" width="9" style="49"/>
    <col min="13579" max="13579" width="10.25" style="49" bestFit="1" customWidth="1"/>
    <col min="13580" max="13824" width="9" style="49"/>
    <col min="13825" max="13825" width="5.375" style="49" customWidth="1"/>
    <col min="13826" max="13826" width="18.625" style="49" customWidth="1"/>
    <col min="13827" max="13827" width="19.75" style="49" customWidth="1"/>
    <col min="13828" max="13828" width="13.625" style="49" bestFit="1" customWidth="1"/>
    <col min="13829" max="13829" width="11.25" style="49" customWidth="1"/>
    <col min="13830" max="13834" width="9" style="49"/>
    <col min="13835" max="13835" width="10.25" style="49" bestFit="1" customWidth="1"/>
    <col min="13836" max="14080" width="9" style="49"/>
    <col min="14081" max="14081" width="5.375" style="49" customWidth="1"/>
    <col min="14082" max="14082" width="18.625" style="49" customWidth="1"/>
    <col min="14083" max="14083" width="19.75" style="49" customWidth="1"/>
    <col min="14084" max="14084" width="13.625" style="49" bestFit="1" customWidth="1"/>
    <col min="14085" max="14085" width="11.25" style="49" customWidth="1"/>
    <col min="14086" max="14090" width="9" style="49"/>
    <col min="14091" max="14091" width="10.25" style="49" bestFit="1" customWidth="1"/>
    <col min="14092" max="14336" width="9" style="49"/>
    <col min="14337" max="14337" width="5.375" style="49" customWidth="1"/>
    <col min="14338" max="14338" width="18.625" style="49" customWidth="1"/>
    <col min="14339" max="14339" width="19.75" style="49" customWidth="1"/>
    <col min="14340" max="14340" width="13.625" style="49" bestFit="1" customWidth="1"/>
    <col min="14341" max="14341" width="11.25" style="49" customWidth="1"/>
    <col min="14342" max="14346" width="9" style="49"/>
    <col min="14347" max="14347" width="10.25" style="49" bestFit="1" customWidth="1"/>
    <col min="14348" max="14592" width="9" style="49"/>
    <col min="14593" max="14593" width="5.375" style="49" customWidth="1"/>
    <col min="14594" max="14594" width="18.625" style="49" customWidth="1"/>
    <col min="14595" max="14595" width="19.75" style="49" customWidth="1"/>
    <col min="14596" max="14596" width="13.625" style="49" bestFit="1" customWidth="1"/>
    <col min="14597" max="14597" width="11.25" style="49" customWidth="1"/>
    <col min="14598" max="14602" width="9" style="49"/>
    <col min="14603" max="14603" width="10.25" style="49" bestFit="1" customWidth="1"/>
    <col min="14604" max="14848" width="9" style="49"/>
    <col min="14849" max="14849" width="5.375" style="49" customWidth="1"/>
    <col min="14850" max="14850" width="18.625" style="49" customWidth="1"/>
    <col min="14851" max="14851" width="19.75" style="49" customWidth="1"/>
    <col min="14852" max="14852" width="13.625" style="49" bestFit="1" customWidth="1"/>
    <col min="14853" max="14853" width="11.25" style="49" customWidth="1"/>
    <col min="14854" max="14858" width="9" style="49"/>
    <col min="14859" max="14859" width="10.25" style="49" bestFit="1" customWidth="1"/>
    <col min="14860" max="15104" width="9" style="49"/>
    <col min="15105" max="15105" width="5.375" style="49" customWidth="1"/>
    <col min="15106" max="15106" width="18.625" style="49" customWidth="1"/>
    <col min="15107" max="15107" width="19.75" style="49" customWidth="1"/>
    <col min="15108" max="15108" width="13.625" style="49" bestFit="1" customWidth="1"/>
    <col min="15109" max="15109" width="11.25" style="49" customWidth="1"/>
    <col min="15110" max="15114" width="9" style="49"/>
    <col min="15115" max="15115" width="10.25" style="49" bestFit="1" customWidth="1"/>
    <col min="15116" max="15360" width="9" style="49"/>
    <col min="15361" max="15361" width="5.375" style="49" customWidth="1"/>
    <col min="15362" max="15362" width="18.625" style="49" customWidth="1"/>
    <col min="15363" max="15363" width="19.75" style="49" customWidth="1"/>
    <col min="15364" max="15364" width="13.625" style="49" bestFit="1" customWidth="1"/>
    <col min="15365" max="15365" width="11.25" style="49" customWidth="1"/>
    <col min="15366" max="15370" width="9" style="49"/>
    <col min="15371" max="15371" width="10.25" style="49" bestFit="1" customWidth="1"/>
    <col min="15372" max="15616" width="9" style="49"/>
    <col min="15617" max="15617" width="5.375" style="49" customWidth="1"/>
    <col min="15618" max="15618" width="18.625" style="49" customWidth="1"/>
    <col min="15619" max="15619" width="19.75" style="49" customWidth="1"/>
    <col min="15620" max="15620" width="13.625" style="49" bestFit="1" customWidth="1"/>
    <col min="15621" max="15621" width="11.25" style="49" customWidth="1"/>
    <col min="15622" max="15626" width="9" style="49"/>
    <col min="15627" max="15627" width="10.25" style="49" bestFit="1" customWidth="1"/>
    <col min="15628" max="15872" width="9" style="49"/>
    <col min="15873" max="15873" width="5.375" style="49" customWidth="1"/>
    <col min="15874" max="15874" width="18.625" style="49" customWidth="1"/>
    <col min="15875" max="15875" width="19.75" style="49" customWidth="1"/>
    <col min="15876" max="15876" width="13.625" style="49" bestFit="1" customWidth="1"/>
    <col min="15877" max="15877" width="11.25" style="49" customWidth="1"/>
    <col min="15878" max="15882" width="9" style="49"/>
    <col min="15883" max="15883" width="10.25" style="49" bestFit="1" customWidth="1"/>
    <col min="15884" max="16128" width="9" style="49"/>
    <col min="16129" max="16129" width="5.375" style="49" customWidth="1"/>
    <col min="16130" max="16130" width="18.625" style="49" customWidth="1"/>
    <col min="16131" max="16131" width="19.75" style="49" customWidth="1"/>
    <col min="16132" max="16132" width="13.625" style="49" bestFit="1" customWidth="1"/>
    <col min="16133" max="16133" width="11.25" style="49" customWidth="1"/>
    <col min="16134" max="16138" width="9" style="49"/>
    <col min="16139" max="16139" width="10.25" style="49" bestFit="1" customWidth="1"/>
    <col min="16140" max="16384" width="9" style="49"/>
  </cols>
  <sheetData>
    <row r="1" spans="1:5" ht="36.75" customHeight="1" x14ac:dyDescent="0.2">
      <c r="A1" s="105" t="s">
        <v>251</v>
      </c>
      <c r="B1" s="105"/>
      <c r="C1" s="105"/>
      <c r="D1" s="105"/>
    </row>
    <row r="2" spans="1:5" ht="24.75" customHeight="1" x14ac:dyDescent="0.2">
      <c r="A2" s="51" t="s">
        <v>0</v>
      </c>
      <c r="B2" s="21" t="s">
        <v>1</v>
      </c>
      <c r="C2" s="21" t="s">
        <v>2</v>
      </c>
      <c r="D2" s="52" t="s">
        <v>229</v>
      </c>
    </row>
    <row r="3" spans="1:5" outlineLevel="2" x14ac:dyDescent="0.2">
      <c r="A3" s="102" t="s">
        <v>5</v>
      </c>
      <c r="B3" s="7" t="s">
        <v>21</v>
      </c>
      <c r="C3" s="7" t="s">
        <v>21</v>
      </c>
      <c r="D3" s="53">
        <v>6000</v>
      </c>
    </row>
    <row r="4" spans="1:5" outlineLevel="2" x14ac:dyDescent="0.2">
      <c r="A4" s="104"/>
      <c r="B4" s="7" t="s">
        <v>21</v>
      </c>
      <c r="C4" s="7" t="s">
        <v>27</v>
      </c>
      <c r="D4" s="53">
        <v>5430</v>
      </c>
    </row>
    <row r="5" spans="1:5" s="57" customFormat="1" outlineLevel="1" x14ac:dyDescent="0.2">
      <c r="A5" s="13"/>
      <c r="B5" s="3" t="s">
        <v>29</v>
      </c>
      <c r="C5" s="3"/>
      <c r="D5" s="10">
        <f>SUBTOTAL(9,D3:D4)</f>
        <v>11430</v>
      </c>
    </row>
    <row r="6" spans="1:5" outlineLevel="2" x14ac:dyDescent="0.2">
      <c r="A6" s="102" t="s">
        <v>9</v>
      </c>
      <c r="B6" s="7" t="s">
        <v>31</v>
      </c>
      <c r="C6" s="7" t="s">
        <v>36</v>
      </c>
      <c r="D6" s="53">
        <v>3698</v>
      </c>
    </row>
    <row r="7" spans="1:5" outlineLevel="2" x14ac:dyDescent="0.2">
      <c r="A7" s="103"/>
      <c r="B7" s="7" t="s">
        <v>31</v>
      </c>
      <c r="C7" s="7" t="s">
        <v>36</v>
      </c>
      <c r="D7" s="53">
        <v>16302</v>
      </c>
    </row>
    <row r="8" spans="1:5" outlineLevel="2" x14ac:dyDescent="0.2">
      <c r="A8" s="104"/>
      <c r="B8" s="7" t="s">
        <v>31</v>
      </c>
      <c r="C8" s="7" t="s">
        <v>37</v>
      </c>
      <c r="D8" s="53">
        <v>5000</v>
      </c>
      <c r="E8" s="54"/>
    </row>
    <row r="9" spans="1:5" s="57" customFormat="1" outlineLevel="1" x14ac:dyDescent="0.2">
      <c r="A9" s="21"/>
      <c r="B9" s="3" t="s">
        <v>39</v>
      </c>
      <c r="C9" s="3"/>
      <c r="D9" s="10">
        <f>SUBTOTAL(9,D6:D8)</f>
        <v>25000</v>
      </c>
      <c r="E9" s="58"/>
    </row>
    <row r="10" spans="1:5" outlineLevel="2" x14ac:dyDescent="0.2">
      <c r="A10" s="102" t="s">
        <v>13</v>
      </c>
      <c r="B10" s="7" t="s">
        <v>41</v>
      </c>
      <c r="C10" s="7" t="s">
        <v>43</v>
      </c>
      <c r="D10" s="53">
        <v>6000</v>
      </c>
    </row>
    <row r="11" spans="1:5" outlineLevel="2" x14ac:dyDescent="0.2">
      <c r="A11" s="103"/>
      <c r="B11" s="7" t="s">
        <v>41</v>
      </c>
      <c r="C11" s="7" t="s">
        <v>43</v>
      </c>
      <c r="D11" s="53">
        <v>6000</v>
      </c>
      <c r="E11" s="54"/>
    </row>
    <row r="12" spans="1:5" outlineLevel="2" x14ac:dyDescent="0.2">
      <c r="A12" s="103"/>
      <c r="B12" s="7" t="s">
        <v>41</v>
      </c>
      <c r="C12" s="7" t="s">
        <v>43</v>
      </c>
      <c r="D12" s="53">
        <v>6000</v>
      </c>
      <c r="E12" s="54"/>
    </row>
    <row r="13" spans="1:5" outlineLevel="2" x14ac:dyDescent="0.2">
      <c r="A13" s="103"/>
      <c r="B13" s="7" t="s">
        <v>41</v>
      </c>
      <c r="C13" s="7" t="s">
        <v>43</v>
      </c>
      <c r="D13" s="53">
        <v>6000</v>
      </c>
    </row>
    <row r="14" spans="1:5" outlineLevel="2" x14ac:dyDescent="0.2">
      <c r="A14" s="103"/>
      <c r="B14" s="7" t="s">
        <v>41</v>
      </c>
      <c r="C14" s="7" t="s">
        <v>43</v>
      </c>
      <c r="D14" s="53">
        <v>6000</v>
      </c>
    </row>
    <row r="15" spans="1:5" outlineLevel="2" x14ac:dyDescent="0.2">
      <c r="A15" s="103"/>
      <c r="B15" s="7" t="s">
        <v>41</v>
      </c>
      <c r="C15" s="7" t="s">
        <v>43</v>
      </c>
      <c r="D15" s="53">
        <v>6000</v>
      </c>
    </row>
    <row r="16" spans="1:5" outlineLevel="2" x14ac:dyDescent="0.2">
      <c r="A16" s="103"/>
      <c r="B16" s="7" t="s">
        <v>41</v>
      </c>
      <c r="C16" s="7" t="s">
        <v>43</v>
      </c>
      <c r="D16" s="53">
        <v>6000</v>
      </c>
    </row>
    <row r="17" spans="1:4" outlineLevel="2" x14ac:dyDescent="0.2">
      <c r="A17" s="103"/>
      <c r="B17" s="7" t="s">
        <v>41</v>
      </c>
      <c r="C17" s="7" t="s">
        <v>43</v>
      </c>
      <c r="D17" s="53">
        <v>6000</v>
      </c>
    </row>
    <row r="18" spans="1:4" outlineLevel="2" x14ac:dyDescent="0.2">
      <c r="A18" s="103"/>
      <c r="B18" s="7" t="s">
        <v>41</v>
      </c>
      <c r="C18" s="7" t="s">
        <v>43</v>
      </c>
      <c r="D18" s="53">
        <v>6000</v>
      </c>
    </row>
    <row r="19" spans="1:4" outlineLevel="2" x14ac:dyDescent="0.2">
      <c r="A19" s="103"/>
      <c r="B19" s="7" t="s">
        <v>41</v>
      </c>
      <c r="C19" s="7" t="s">
        <v>43</v>
      </c>
      <c r="D19" s="53">
        <v>6000</v>
      </c>
    </row>
    <row r="20" spans="1:4" outlineLevel="2" x14ac:dyDescent="0.2">
      <c r="A20" s="103"/>
      <c r="B20" s="7" t="s">
        <v>41</v>
      </c>
      <c r="C20" s="7" t="s">
        <v>43</v>
      </c>
      <c r="D20" s="53">
        <v>6000</v>
      </c>
    </row>
    <row r="21" spans="1:4" outlineLevel="2" x14ac:dyDescent="0.2">
      <c r="A21" s="103"/>
      <c r="B21" s="7" t="s">
        <v>41</v>
      </c>
      <c r="C21" s="7" t="s">
        <v>43</v>
      </c>
      <c r="D21" s="53">
        <v>6000</v>
      </c>
    </row>
    <row r="22" spans="1:4" outlineLevel="2" x14ac:dyDescent="0.2">
      <c r="A22" s="103"/>
      <c r="B22" s="7" t="s">
        <v>41</v>
      </c>
      <c r="C22" s="7" t="s">
        <v>43</v>
      </c>
      <c r="D22" s="53">
        <v>6000</v>
      </c>
    </row>
    <row r="23" spans="1:4" outlineLevel="2" x14ac:dyDescent="0.2">
      <c r="A23" s="103"/>
      <c r="B23" s="7" t="s">
        <v>41</v>
      </c>
      <c r="C23" s="7" t="s">
        <v>43</v>
      </c>
      <c r="D23" s="53">
        <v>20000</v>
      </c>
    </row>
    <row r="24" spans="1:4" outlineLevel="2" x14ac:dyDescent="0.2">
      <c r="A24" s="103"/>
      <c r="B24" s="7" t="s">
        <v>41</v>
      </c>
      <c r="C24" s="7" t="s">
        <v>160</v>
      </c>
      <c r="D24" s="53">
        <v>5000</v>
      </c>
    </row>
    <row r="25" spans="1:4" outlineLevel="2" x14ac:dyDescent="0.2">
      <c r="A25" s="103"/>
      <c r="B25" s="7" t="s">
        <v>41</v>
      </c>
      <c r="C25" s="7" t="s">
        <v>41</v>
      </c>
      <c r="D25" s="53">
        <v>500</v>
      </c>
    </row>
    <row r="26" spans="1:4" outlineLevel="2" x14ac:dyDescent="0.2">
      <c r="A26" s="103"/>
      <c r="B26" s="7" t="s">
        <v>41</v>
      </c>
      <c r="C26" s="7" t="s">
        <v>41</v>
      </c>
      <c r="D26" s="53">
        <v>2465</v>
      </c>
    </row>
    <row r="27" spans="1:4" outlineLevel="2" x14ac:dyDescent="0.2">
      <c r="A27" s="103"/>
      <c r="B27" s="7" t="s">
        <v>41</v>
      </c>
      <c r="C27" s="7" t="s">
        <v>41</v>
      </c>
      <c r="D27" s="53">
        <v>560</v>
      </c>
    </row>
    <row r="28" spans="1:4" outlineLevel="2" x14ac:dyDescent="0.2">
      <c r="A28" s="103"/>
      <c r="B28" s="7" t="s">
        <v>41</v>
      </c>
      <c r="C28" s="7" t="s">
        <v>41</v>
      </c>
      <c r="D28" s="53">
        <v>4440</v>
      </c>
    </row>
    <row r="29" spans="1:4" outlineLevel="2" x14ac:dyDescent="0.2">
      <c r="A29" s="103"/>
      <c r="B29" s="7" t="s">
        <v>41</v>
      </c>
      <c r="C29" s="7" t="s">
        <v>41</v>
      </c>
      <c r="D29" s="53">
        <v>10000</v>
      </c>
    </row>
    <row r="30" spans="1:4" outlineLevel="2" x14ac:dyDescent="0.2">
      <c r="A30" s="103"/>
      <c r="B30" s="7" t="s">
        <v>41</v>
      </c>
      <c r="C30" s="7" t="s">
        <v>41</v>
      </c>
      <c r="D30" s="53">
        <v>6000</v>
      </c>
    </row>
    <row r="31" spans="1:4" outlineLevel="2" x14ac:dyDescent="0.2">
      <c r="A31" s="103"/>
      <c r="B31" s="7" t="s">
        <v>41</v>
      </c>
      <c r="C31" s="7" t="s">
        <v>41</v>
      </c>
      <c r="D31" s="53">
        <v>3231.41</v>
      </c>
    </row>
    <row r="32" spans="1:4" outlineLevel="2" x14ac:dyDescent="0.2">
      <c r="A32" s="103"/>
      <c r="B32" s="7" t="s">
        <v>41</v>
      </c>
      <c r="C32" s="7" t="s">
        <v>41</v>
      </c>
      <c r="D32" s="53">
        <v>556.44000000000005</v>
      </c>
    </row>
    <row r="33" spans="1:5" outlineLevel="2" x14ac:dyDescent="0.2">
      <c r="A33" s="103"/>
      <c r="B33" s="7" t="s">
        <v>41</v>
      </c>
      <c r="C33" s="7" t="s">
        <v>41</v>
      </c>
      <c r="D33" s="53">
        <v>554.95000000000005</v>
      </c>
    </row>
    <row r="34" spans="1:5" outlineLevel="2" x14ac:dyDescent="0.2">
      <c r="A34" s="103"/>
      <c r="B34" s="7" t="s">
        <v>41</v>
      </c>
      <c r="C34" s="7" t="s">
        <v>41</v>
      </c>
      <c r="D34" s="53">
        <v>524.42999999999995</v>
      </c>
    </row>
    <row r="35" spans="1:5" outlineLevel="2" x14ac:dyDescent="0.2">
      <c r="A35" s="103"/>
      <c r="B35" s="7" t="s">
        <v>41</v>
      </c>
      <c r="C35" s="7" t="s">
        <v>41</v>
      </c>
      <c r="D35" s="53">
        <v>1190.19</v>
      </c>
    </row>
    <row r="36" spans="1:5" outlineLevel="2" x14ac:dyDescent="0.2">
      <c r="A36" s="103"/>
      <c r="B36" s="7" t="s">
        <v>41</v>
      </c>
      <c r="C36" s="7" t="s">
        <v>41</v>
      </c>
      <c r="D36" s="53">
        <v>799</v>
      </c>
    </row>
    <row r="37" spans="1:5" outlineLevel="2" x14ac:dyDescent="0.2">
      <c r="A37" s="103"/>
      <c r="B37" s="7" t="s">
        <v>41</v>
      </c>
      <c r="C37" s="7" t="s">
        <v>41</v>
      </c>
      <c r="D37" s="53">
        <v>46.5</v>
      </c>
    </row>
    <row r="38" spans="1:5" outlineLevel="2" x14ac:dyDescent="0.2">
      <c r="A38" s="103"/>
      <c r="B38" s="7" t="s">
        <v>41</v>
      </c>
      <c r="C38" s="7" t="s">
        <v>41</v>
      </c>
      <c r="D38" s="53">
        <v>76.430000000000007</v>
      </c>
    </row>
    <row r="39" spans="1:5" outlineLevel="2" x14ac:dyDescent="0.2">
      <c r="A39" s="103"/>
      <c r="B39" s="7" t="s">
        <v>41</v>
      </c>
      <c r="C39" s="7" t="s">
        <v>41</v>
      </c>
      <c r="D39" s="53">
        <v>1137.96</v>
      </c>
    </row>
    <row r="40" spans="1:5" outlineLevel="2" x14ac:dyDescent="0.2">
      <c r="A40" s="103"/>
      <c r="B40" s="7" t="s">
        <v>41</v>
      </c>
      <c r="C40" s="7" t="s">
        <v>41</v>
      </c>
      <c r="D40" s="53">
        <v>199</v>
      </c>
    </row>
    <row r="41" spans="1:5" outlineLevel="2" x14ac:dyDescent="0.2">
      <c r="A41" s="103"/>
      <c r="B41" s="7" t="s">
        <v>41</v>
      </c>
      <c r="C41" s="7" t="s">
        <v>41</v>
      </c>
      <c r="D41" s="53">
        <v>303.93</v>
      </c>
    </row>
    <row r="42" spans="1:5" outlineLevel="2" x14ac:dyDescent="0.2">
      <c r="A42" s="103"/>
      <c r="B42" s="7" t="s">
        <v>41</v>
      </c>
      <c r="C42" s="7" t="s">
        <v>41</v>
      </c>
      <c r="D42" s="53">
        <v>713</v>
      </c>
    </row>
    <row r="43" spans="1:5" outlineLevel="2" x14ac:dyDescent="0.2">
      <c r="A43" s="103"/>
      <c r="B43" s="7" t="s">
        <v>41</v>
      </c>
      <c r="C43" s="7" t="s">
        <v>41</v>
      </c>
      <c r="D43" s="53">
        <v>2728</v>
      </c>
    </row>
    <row r="44" spans="1:5" outlineLevel="2" x14ac:dyDescent="0.2">
      <c r="A44" s="103"/>
      <c r="B44" s="7" t="s">
        <v>41</v>
      </c>
      <c r="C44" s="7" t="s">
        <v>41</v>
      </c>
      <c r="D44" s="53">
        <v>1425</v>
      </c>
    </row>
    <row r="45" spans="1:5" outlineLevel="2" x14ac:dyDescent="0.2">
      <c r="A45" s="103"/>
      <c r="B45" s="7" t="s">
        <v>41</v>
      </c>
      <c r="C45" s="7" t="s">
        <v>41</v>
      </c>
      <c r="D45" s="53">
        <v>130.88999999999999</v>
      </c>
    </row>
    <row r="46" spans="1:5" outlineLevel="2" x14ac:dyDescent="0.2">
      <c r="A46" s="103"/>
      <c r="B46" s="7" t="s">
        <v>41</v>
      </c>
      <c r="C46" s="7" t="s">
        <v>41</v>
      </c>
      <c r="D46" s="53">
        <v>1755.05</v>
      </c>
      <c r="E46" s="54"/>
    </row>
    <row r="47" spans="1:5" outlineLevel="2" x14ac:dyDescent="0.2">
      <c r="A47" s="103"/>
      <c r="B47" s="7" t="s">
        <v>41</v>
      </c>
      <c r="C47" s="7" t="s">
        <v>41</v>
      </c>
      <c r="D47" s="53">
        <v>320.98</v>
      </c>
      <c r="E47" s="54"/>
    </row>
    <row r="48" spans="1:5" outlineLevel="2" x14ac:dyDescent="0.2">
      <c r="A48" s="103"/>
      <c r="B48" s="7" t="s">
        <v>41</v>
      </c>
      <c r="C48" s="7" t="s">
        <v>41</v>
      </c>
      <c r="D48" s="53">
        <v>474.5</v>
      </c>
    </row>
    <row r="49" spans="1:5" outlineLevel="2" x14ac:dyDescent="0.2">
      <c r="A49" s="103"/>
      <c r="B49" s="7" t="s">
        <v>41</v>
      </c>
      <c r="C49" s="7" t="s">
        <v>41</v>
      </c>
      <c r="D49" s="53">
        <v>5997.8</v>
      </c>
    </row>
    <row r="50" spans="1:5" outlineLevel="2" x14ac:dyDescent="0.2">
      <c r="A50" s="103"/>
      <c r="B50" s="7" t="s">
        <v>41</v>
      </c>
      <c r="C50" s="7" t="s">
        <v>41</v>
      </c>
      <c r="D50" s="53">
        <v>15184.26</v>
      </c>
    </row>
    <row r="51" spans="1:5" ht="13.5" customHeight="1" outlineLevel="2" x14ac:dyDescent="0.2">
      <c r="A51" s="103"/>
      <c r="B51" s="7" t="s">
        <v>41</v>
      </c>
      <c r="C51" s="7" t="s">
        <v>41</v>
      </c>
      <c r="D51" s="53">
        <v>5145</v>
      </c>
    </row>
    <row r="52" spans="1:5" outlineLevel="2" x14ac:dyDescent="0.2">
      <c r="A52" s="103"/>
      <c r="B52" s="7" t="s">
        <v>41</v>
      </c>
      <c r="C52" s="7" t="s">
        <v>41</v>
      </c>
      <c r="D52" s="53">
        <v>8999.9</v>
      </c>
    </row>
    <row r="53" spans="1:5" outlineLevel="2" x14ac:dyDescent="0.2">
      <c r="A53" s="103"/>
      <c r="B53" s="7" t="s">
        <v>41</v>
      </c>
      <c r="C53" s="7" t="s">
        <v>165</v>
      </c>
      <c r="D53" s="53">
        <v>6000</v>
      </c>
      <c r="E53" s="54"/>
    </row>
    <row r="54" spans="1:5" outlineLevel="2" x14ac:dyDescent="0.2">
      <c r="A54" s="103"/>
      <c r="B54" s="7" t="s">
        <v>41</v>
      </c>
      <c r="C54" s="7" t="s">
        <v>165</v>
      </c>
      <c r="D54" s="53">
        <v>6000</v>
      </c>
    </row>
    <row r="55" spans="1:5" outlineLevel="2" x14ac:dyDescent="0.2">
      <c r="A55" s="103"/>
      <c r="B55" s="7" t="s">
        <v>41</v>
      </c>
      <c r="C55" s="7" t="s">
        <v>165</v>
      </c>
      <c r="D55" s="53">
        <v>6000</v>
      </c>
    </row>
    <row r="56" spans="1:5" outlineLevel="2" x14ac:dyDescent="0.2">
      <c r="A56" s="103"/>
      <c r="B56" s="7" t="s">
        <v>41</v>
      </c>
      <c r="C56" s="7" t="s">
        <v>165</v>
      </c>
      <c r="D56" s="53">
        <v>6000</v>
      </c>
    </row>
    <row r="57" spans="1:5" outlineLevel="2" x14ac:dyDescent="0.2">
      <c r="A57" s="103"/>
      <c r="B57" s="7" t="s">
        <v>41</v>
      </c>
      <c r="C57" s="7" t="s">
        <v>165</v>
      </c>
      <c r="D57" s="53">
        <v>6000</v>
      </c>
    </row>
    <row r="58" spans="1:5" outlineLevel="2" x14ac:dyDescent="0.2">
      <c r="A58" s="103"/>
      <c r="B58" s="7" t="s">
        <v>41</v>
      </c>
      <c r="C58" s="7" t="s">
        <v>165</v>
      </c>
      <c r="D58" s="53">
        <v>6000</v>
      </c>
    </row>
    <row r="59" spans="1:5" outlineLevel="2" x14ac:dyDescent="0.2">
      <c r="A59" s="103"/>
      <c r="B59" s="7" t="s">
        <v>41</v>
      </c>
      <c r="C59" s="7" t="s">
        <v>50</v>
      </c>
      <c r="D59" s="53">
        <v>6000</v>
      </c>
    </row>
    <row r="60" spans="1:5" outlineLevel="2" x14ac:dyDescent="0.2">
      <c r="A60" s="103"/>
      <c r="B60" s="7" t="s">
        <v>41</v>
      </c>
      <c r="C60" s="7" t="s">
        <v>51</v>
      </c>
      <c r="D60" s="53">
        <v>22000</v>
      </c>
    </row>
    <row r="61" spans="1:5" outlineLevel="2" x14ac:dyDescent="0.2">
      <c r="A61" s="103"/>
      <c r="B61" s="7" t="s">
        <v>41</v>
      </c>
      <c r="C61" s="7" t="s">
        <v>51</v>
      </c>
      <c r="D61" s="53">
        <v>1971.19</v>
      </c>
    </row>
    <row r="62" spans="1:5" outlineLevel="2" x14ac:dyDescent="0.2">
      <c r="A62" s="103"/>
      <c r="B62" s="7" t="s">
        <v>41</v>
      </c>
      <c r="C62" s="7" t="s">
        <v>51</v>
      </c>
      <c r="D62" s="53">
        <v>979</v>
      </c>
    </row>
    <row r="63" spans="1:5" outlineLevel="2" x14ac:dyDescent="0.2">
      <c r="A63" s="103"/>
      <c r="B63" s="7" t="s">
        <v>41</v>
      </c>
      <c r="C63" s="7" t="s">
        <v>51</v>
      </c>
      <c r="D63" s="53">
        <v>572.03</v>
      </c>
    </row>
    <row r="64" spans="1:5" outlineLevel="2" x14ac:dyDescent="0.2">
      <c r="A64" s="103"/>
      <c r="B64" s="7" t="s">
        <v>41</v>
      </c>
      <c r="C64" s="7" t="s">
        <v>51</v>
      </c>
      <c r="D64" s="53">
        <v>500</v>
      </c>
    </row>
    <row r="65" spans="1:5" outlineLevel="2" x14ac:dyDescent="0.2">
      <c r="A65" s="103"/>
      <c r="B65" s="7" t="s">
        <v>41</v>
      </c>
      <c r="C65" s="7" t="s">
        <v>51</v>
      </c>
      <c r="D65" s="53">
        <v>4100</v>
      </c>
    </row>
    <row r="66" spans="1:5" outlineLevel="2" x14ac:dyDescent="0.2">
      <c r="A66" s="103"/>
      <c r="B66" s="7" t="s">
        <v>41</v>
      </c>
      <c r="C66" s="7" t="s">
        <v>51</v>
      </c>
      <c r="D66" s="53">
        <v>900</v>
      </c>
    </row>
    <row r="67" spans="1:5" outlineLevel="2" x14ac:dyDescent="0.2">
      <c r="A67" s="103"/>
      <c r="B67" s="7" t="s">
        <v>41</v>
      </c>
      <c r="C67" s="7" t="s">
        <v>55</v>
      </c>
      <c r="D67" s="53">
        <v>5000</v>
      </c>
      <c r="E67" s="54"/>
    </row>
    <row r="68" spans="1:5" outlineLevel="2" x14ac:dyDescent="0.2">
      <c r="A68" s="103"/>
      <c r="B68" s="7" t="s">
        <v>41</v>
      </c>
      <c r="C68" s="7" t="s">
        <v>55</v>
      </c>
      <c r="D68" s="53">
        <v>5000</v>
      </c>
      <c r="E68" s="54"/>
    </row>
    <row r="69" spans="1:5" outlineLevel="2" x14ac:dyDescent="0.2">
      <c r="A69" s="104"/>
      <c r="B69" s="7" t="s">
        <v>41</v>
      </c>
      <c r="C69" s="7" t="s">
        <v>55</v>
      </c>
      <c r="D69" s="53">
        <v>5000</v>
      </c>
      <c r="E69" s="54"/>
    </row>
    <row r="70" spans="1:5" s="57" customFormat="1" outlineLevel="1" x14ac:dyDescent="0.2">
      <c r="A70" s="21"/>
      <c r="B70" s="3" t="s">
        <v>58</v>
      </c>
      <c r="C70" s="3"/>
      <c r="D70" s="10">
        <f>SUBTOTAL(9,D10:D69)</f>
        <v>266481.83999999997</v>
      </c>
      <c r="E70" s="58"/>
    </row>
    <row r="71" spans="1:5" outlineLevel="2" x14ac:dyDescent="0.2">
      <c r="A71" s="102" t="s">
        <v>20</v>
      </c>
      <c r="B71" s="7" t="s">
        <v>88</v>
      </c>
      <c r="C71" s="7" t="s">
        <v>88</v>
      </c>
      <c r="D71" s="53">
        <v>5000</v>
      </c>
      <c r="E71" s="54"/>
    </row>
    <row r="72" spans="1:5" outlineLevel="2" x14ac:dyDescent="0.2">
      <c r="A72" s="103"/>
      <c r="B72" s="7" t="s">
        <v>88</v>
      </c>
      <c r="C72" s="7" t="s">
        <v>88</v>
      </c>
      <c r="D72" s="53">
        <v>5000</v>
      </c>
      <c r="E72" s="54"/>
    </row>
    <row r="73" spans="1:5" outlineLevel="2" x14ac:dyDescent="0.2">
      <c r="A73" s="104"/>
      <c r="B73" s="7" t="s">
        <v>88</v>
      </c>
      <c r="C73" s="7" t="s">
        <v>88</v>
      </c>
      <c r="D73" s="53">
        <v>5000</v>
      </c>
      <c r="E73" s="54"/>
    </row>
    <row r="74" spans="1:5" s="57" customFormat="1" outlineLevel="1" x14ac:dyDescent="0.2">
      <c r="A74" s="21"/>
      <c r="B74" s="3" t="s">
        <v>92</v>
      </c>
      <c r="C74" s="3"/>
      <c r="D74" s="10">
        <f>SUBTOTAL(9,D71:D73)</f>
        <v>15000</v>
      </c>
      <c r="E74" s="58"/>
    </row>
    <row r="75" spans="1:5" outlineLevel="2" x14ac:dyDescent="0.2">
      <c r="A75" s="102" t="s">
        <v>30</v>
      </c>
      <c r="B75" s="7" t="s">
        <v>104</v>
      </c>
      <c r="C75" s="7" t="s">
        <v>178</v>
      </c>
      <c r="D75" s="53">
        <v>8800</v>
      </c>
      <c r="E75" s="54"/>
    </row>
    <row r="76" spans="1:5" outlineLevel="2" x14ac:dyDescent="0.2">
      <c r="A76" s="103"/>
      <c r="B76" s="7" t="s">
        <v>104</v>
      </c>
      <c r="C76" s="7" t="s">
        <v>117</v>
      </c>
      <c r="D76" s="53">
        <v>5000</v>
      </c>
      <c r="E76" s="54"/>
    </row>
    <row r="77" spans="1:5" outlineLevel="2" x14ac:dyDescent="0.2">
      <c r="A77" s="103"/>
      <c r="B77" s="7" t="s">
        <v>104</v>
      </c>
      <c r="C77" s="7" t="s">
        <v>117</v>
      </c>
      <c r="D77" s="53">
        <v>6000</v>
      </c>
      <c r="E77" s="54"/>
    </row>
    <row r="78" spans="1:5" outlineLevel="2" x14ac:dyDescent="0.2">
      <c r="A78" s="104"/>
      <c r="B78" s="7" t="s">
        <v>104</v>
      </c>
      <c r="C78" s="7" t="s">
        <v>104</v>
      </c>
      <c r="D78" s="53">
        <v>6000</v>
      </c>
      <c r="E78" s="54"/>
    </row>
    <row r="79" spans="1:5" s="57" customFormat="1" outlineLevel="1" x14ac:dyDescent="0.2">
      <c r="A79" s="21"/>
      <c r="B79" s="3" t="s">
        <v>122</v>
      </c>
      <c r="C79" s="3"/>
      <c r="D79" s="10">
        <f>SUBTOTAL(9,D75:D78)</f>
        <v>25800</v>
      </c>
      <c r="E79" s="58"/>
    </row>
    <row r="80" spans="1:5" outlineLevel="2" x14ac:dyDescent="0.2">
      <c r="A80" s="102" t="s">
        <v>40</v>
      </c>
      <c r="B80" s="7" t="s">
        <v>149</v>
      </c>
      <c r="C80" s="7" t="s">
        <v>151</v>
      </c>
      <c r="D80" s="53">
        <v>5000</v>
      </c>
      <c r="E80" s="54"/>
    </row>
    <row r="81" spans="1:5" outlineLevel="2" x14ac:dyDescent="0.2">
      <c r="A81" s="103"/>
      <c r="B81" s="7" t="s">
        <v>149</v>
      </c>
      <c r="C81" s="7" t="s">
        <v>151</v>
      </c>
      <c r="D81" s="53">
        <v>5000</v>
      </c>
      <c r="E81" s="54"/>
    </row>
    <row r="82" spans="1:5" outlineLevel="2" x14ac:dyDescent="0.2">
      <c r="A82" s="103"/>
      <c r="B82" s="7" t="s">
        <v>149</v>
      </c>
      <c r="C82" s="7" t="s">
        <v>151</v>
      </c>
      <c r="D82" s="53">
        <v>2143.16</v>
      </c>
      <c r="E82" s="54"/>
    </row>
    <row r="83" spans="1:5" outlineLevel="2" x14ac:dyDescent="0.2">
      <c r="A83" s="103"/>
      <c r="B83" s="7" t="s">
        <v>149</v>
      </c>
      <c r="C83" s="7" t="s">
        <v>151</v>
      </c>
      <c r="D83" s="53">
        <v>3375</v>
      </c>
      <c r="E83" s="54"/>
    </row>
    <row r="84" spans="1:5" outlineLevel="2" x14ac:dyDescent="0.2">
      <c r="A84" s="104"/>
      <c r="B84" s="7" t="s">
        <v>149</v>
      </c>
      <c r="C84" s="7" t="s">
        <v>151</v>
      </c>
      <c r="D84" s="53">
        <v>5000</v>
      </c>
      <c r="E84" s="54"/>
    </row>
    <row r="85" spans="1:5" s="57" customFormat="1" ht="20.25" customHeight="1" outlineLevel="1" x14ac:dyDescent="0.2">
      <c r="A85" s="56"/>
      <c r="B85" s="3" t="s">
        <v>152</v>
      </c>
      <c r="C85" s="3"/>
      <c r="D85" s="10">
        <f>SUBTOTAL(9,D80:D84)</f>
        <v>20518.16</v>
      </c>
      <c r="E85" s="58"/>
    </row>
    <row r="86" spans="1:5" s="57" customFormat="1" ht="26.25" customHeight="1" x14ac:dyDescent="0.2">
      <c r="A86" s="56"/>
      <c r="B86" s="3" t="s">
        <v>153</v>
      </c>
      <c r="C86" s="3"/>
      <c r="D86" s="10">
        <f>SUBTOTAL(9,D3:D84)</f>
        <v>364230</v>
      </c>
      <c r="E86" s="58"/>
    </row>
  </sheetData>
  <autoFilter ref="A2:D84" xr:uid="{0A450150-FFB6-4DE3-B7CC-5B79FBEEFD30}">
    <sortState xmlns:xlrd2="http://schemas.microsoft.com/office/spreadsheetml/2017/richdata2" ref="A3:D84">
      <sortCondition ref="B2:B84"/>
    </sortState>
  </autoFilter>
  <mergeCells count="7">
    <mergeCell ref="A80:A84"/>
    <mergeCell ref="A1:D1"/>
    <mergeCell ref="A3:A4"/>
    <mergeCell ref="A6:A8"/>
    <mergeCell ref="A10:A69"/>
    <mergeCell ref="A71:A73"/>
    <mergeCell ref="A75:A78"/>
  </mergeCells>
  <pageMargins left="0.81" right="0.45" top="0.35433070866141736" bottom="0.39370078740157483" header="0.17" footer="0.19"/>
  <pageSetup paperSize="9" orientation="portrait" r:id="rId1"/>
  <headerFooter>
    <oddHeader>&amp;RTabela nr 6</oddHead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9FB0-4CF1-40BB-94A6-BB25B53B3B5C}">
  <sheetPr>
    <pageSetUpPr fitToPage="1"/>
  </sheetPr>
  <dimension ref="A1:G16"/>
  <sheetViews>
    <sheetView zoomScaleNormal="100" workbookViewId="0">
      <selection activeCell="C8" sqref="C8"/>
    </sheetView>
  </sheetViews>
  <sheetFormatPr defaultRowHeight="14.25" outlineLevelRow="2" x14ac:dyDescent="0.2"/>
  <cols>
    <col min="1" max="1" width="5.375" style="77" customWidth="1"/>
    <col min="2" max="2" width="17.75" style="77" customWidth="1"/>
    <col min="3" max="3" width="34.625" style="77" customWidth="1"/>
    <col min="4" max="4" width="21.875" style="87" customWidth="1"/>
    <col min="5" max="16384" width="9" style="77"/>
  </cols>
  <sheetData>
    <row r="1" spans="1:7" ht="36.75" customHeight="1" x14ac:dyDescent="0.2">
      <c r="A1" s="106" t="s">
        <v>252</v>
      </c>
      <c r="B1" s="106"/>
      <c r="C1" s="106"/>
      <c r="D1" s="106"/>
    </row>
    <row r="2" spans="1:7" ht="39.75" customHeight="1" x14ac:dyDescent="0.2">
      <c r="A2" s="78" t="s">
        <v>0</v>
      </c>
      <c r="B2" s="78" t="s">
        <v>1</v>
      </c>
      <c r="C2" s="78" t="s">
        <v>232</v>
      </c>
      <c r="D2" s="78" t="s">
        <v>231</v>
      </c>
    </row>
    <row r="3" spans="1:7" outlineLevel="2" x14ac:dyDescent="0.2">
      <c r="A3" s="79" t="s">
        <v>5</v>
      </c>
      <c r="B3" s="80" t="s">
        <v>31</v>
      </c>
      <c r="C3" s="80" t="s">
        <v>233</v>
      </c>
      <c r="D3" s="81">
        <v>100000</v>
      </c>
      <c r="E3" s="82"/>
      <c r="F3" s="82"/>
      <c r="G3" s="82"/>
    </row>
    <row r="4" spans="1:7" outlineLevel="1" x14ac:dyDescent="0.2">
      <c r="A4" s="79"/>
      <c r="B4" s="83" t="s">
        <v>39</v>
      </c>
      <c r="C4" s="80"/>
      <c r="D4" s="81">
        <f>SUBTOTAL(9,D3:D3)</f>
        <v>100000</v>
      </c>
      <c r="E4" s="82"/>
      <c r="F4" s="82"/>
      <c r="G4" s="82"/>
    </row>
    <row r="5" spans="1:7" ht="28.5" outlineLevel="2" x14ac:dyDescent="0.2">
      <c r="A5" s="107" t="s">
        <v>9</v>
      </c>
      <c r="B5" s="80" t="s">
        <v>41</v>
      </c>
      <c r="C5" s="80" t="s">
        <v>234</v>
      </c>
      <c r="D5" s="81">
        <v>140000</v>
      </c>
      <c r="E5" s="82"/>
      <c r="F5" s="82"/>
      <c r="G5" s="82"/>
    </row>
    <row r="6" spans="1:7" ht="28.5" outlineLevel="2" x14ac:dyDescent="0.2">
      <c r="A6" s="107"/>
      <c r="B6" s="80" t="s">
        <v>41</v>
      </c>
      <c r="C6" s="80" t="s">
        <v>235</v>
      </c>
      <c r="D6" s="81">
        <f>400000+100000+20856.72+3500</f>
        <v>524356.72</v>
      </c>
      <c r="E6" s="82"/>
      <c r="F6" s="82"/>
      <c r="G6" s="82"/>
    </row>
    <row r="7" spans="1:7" ht="28.5" outlineLevel="2" x14ac:dyDescent="0.2">
      <c r="A7" s="107"/>
      <c r="B7" s="80" t="s">
        <v>41</v>
      </c>
      <c r="C7" s="80" t="s">
        <v>236</v>
      </c>
      <c r="D7" s="81">
        <v>400000</v>
      </c>
      <c r="E7" s="82"/>
      <c r="F7" s="82"/>
      <c r="G7" s="82"/>
    </row>
    <row r="8" spans="1:7" ht="28.5" outlineLevel="2" x14ac:dyDescent="0.2">
      <c r="A8" s="107"/>
      <c r="B8" s="80" t="s">
        <v>41</v>
      </c>
      <c r="C8" s="80" t="s">
        <v>237</v>
      </c>
      <c r="D8" s="81">
        <v>50000</v>
      </c>
      <c r="E8" s="82"/>
      <c r="F8" s="82"/>
      <c r="G8" s="82"/>
    </row>
    <row r="9" spans="1:7" outlineLevel="1" x14ac:dyDescent="0.2">
      <c r="A9" s="84"/>
      <c r="B9" s="83" t="s">
        <v>58</v>
      </c>
      <c r="C9" s="80"/>
      <c r="D9" s="81">
        <f>SUBTOTAL(9,D5:D8)</f>
        <v>1114356.72</v>
      </c>
      <c r="E9" s="82"/>
      <c r="F9" s="82"/>
      <c r="G9" s="82"/>
    </row>
    <row r="10" spans="1:7" ht="28.5" outlineLevel="2" x14ac:dyDescent="0.2">
      <c r="A10" s="108" t="s">
        <v>13</v>
      </c>
      <c r="B10" s="80" t="s">
        <v>104</v>
      </c>
      <c r="C10" s="80" t="s">
        <v>238</v>
      </c>
      <c r="D10" s="81">
        <f>200000+54406.59</f>
        <v>254406.59</v>
      </c>
      <c r="E10" s="82"/>
      <c r="F10" s="82"/>
      <c r="G10" s="82"/>
    </row>
    <row r="11" spans="1:7" ht="28.5" outlineLevel="2" x14ac:dyDescent="0.2">
      <c r="A11" s="109"/>
      <c r="B11" s="80" t="s">
        <v>104</v>
      </c>
      <c r="C11" s="80" t="s">
        <v>239</v>
      </c>
      <c r="D11" s="81">
        <f>1575000+250000+151754</f>
        <v>1976754</v>
      </c>
      <c r="E11" s="82"/>
      <c r="F11" s="82"/>
      <c r="G11" s="82"/>
    </row>
    <row r="12" spans="1:7" outlineLevel="2" x14ac:dyDescent="0.2">
      <c r="A12" s="109"/>
      <c r="B12" s="80" t="s">
        <v>104</v>
      </c>
      <c r="C12" s="80" t="s">
        <v>240</v>
      </c>
      <c r="D12" s="81">
        <v>35000</v>
      </c>
      <c r="E12" s="82"/>
      <c r="F12" s="82"/>
      <c r="G12" s="82"/>
    </row>
    <row r="13" spans="1:7" outlineLevel="1" x14ac:dyDescent="0.2">
      <c r="A13" s="85"/>
      <c r="B13" s="83" t="s">
        <v>122</v>
      </c>
      <c r="C13" s="80"/>
      <c r="D13" s="81">
        <f>SUBTOTAL(9,D10:D12)</f>
        <v>2266160.59</v>
      </c>
      <c r="E13" s="82"/>
      <c r="F13" s="82"/>
      <c r="G13" s="82"/>
    </row>
    <row r="14" spans="1:7" outlineLevel="2" x14ac:dyDescent="0.2">
      <c r="A14" s="79" t="s">
        <v>20</v>
      </c>
      <c r="B14" s="80" t="s">
        <v>124</v>
      </c>
      <c r="C14" s="80" t="s">
        <v>241</v>
      </c>
      <c r="D14" s="81">
        <v>100000</v>
      </c>
      <c r="E14" s="82"/>
      <c r="F14" s="82"/>
      <c r="G14" s="82"/>
    </row>
    <row r="15" spans="1:7" outlineLevel="1" x14ac:dyDescent="0.2">
      <c r="A15" s="79"/>
      <c r="B15" s="83" t="s">
        <v>130</v>
      </c>
      <c r="C15" s="80"/>
      <c r="D15" s="81">
        <f>SUBTOTAL(9,D14:D14)</f>
        <v>100000</v>
      </c>
      <c r="E15" s="82"/>
      <c r="F15" s="82"/>
      <c r="G15" s="82"/>
    </row>
    <row r="16" spans="1:7" x14ac:dyDescent="0.2">
      <c r="A16" s="79"/>
      <c r="B16" s="83" t="s">
        <v>153</v>
      </c>
      <c r="C16" s="83"/>
      <c r="D16" s="86">
        <f>SUBTOTAL(9,D3:D14)</f>
        <v>3580517.31</v>
      </c>
      <c r="E16" s="82"/>
      <c r="F16" s="82"/>
      <c r="G16" s="82"/>
    </row>
  </sheetData>
  <autoFilter ref="A2:D14" xr:uid="{5D863303-EDCF-46FD-8755-5D9E9350EEAD}">
    <sortState xmlns:xlrd2="http://schemas.microsoft.com/office/spreadsheetml/2017/richdata2" ref="A3:D14">
      <sortCondition ref="B2:B14"/>
    </sortState>
  </autoFilter>
  <mergeCells count="3">
    <mergeCell ref="A1:D1"/>
    <mergeCell ref="A5:A8"/>
    <mergeCell ref="A10:A12"/>
  </mergeCells>
  <phoneticPr fontId="12" type="noConversion"/>
  <pageMargins left="0.70866141732283472" right="0.70866141732283472" top="0.66" bottom="0.74803149606299213" header="0.27559055118110237" footer="0.31496062992125984"/>
  <pageSetup paperSize="9" fitToHeight="0" orientation="portrait" r:id="rId1"/>
  <headerFooter>
    <oddHeader>&amp;RTabela nr 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5</vt:i4>
      </vt:variant>
    </vt:vector>
  </HeadingPairs>
  <TitlesOfParts>
    <vt:vector size="12" baseType="lpstr">
      <vt:lpstr>pomocfinansowa_parafie_Tabela1</vt:lpstr>
      <vt:lpstr>Karty przedpłacone_Tabela2</vt:lpstr>
      <vt:lpstr>Karty budowlane_Tabela3</vt:lpstr>
      <vt:lpstr>Skrzydła_Tabela4</vt:lpstr>
      <vt:lpstr>Niechsiępowodzi_Tabela5</vt:lpstr>
      <vt:lpstr>Darowizny_indywidualne_Tabela6</vt:lpstr>
      <vt:lpstr>obiekty_kościelne_Tabela7</vt:lpstr>
      <vt:lpstr>Darowizny_indywidualne_Tabela6!Tytuły_wydruku</vt:lpstr>
      <vt:lpstr>'Karty budowlane_Tabela3'!Tytuły_wydruku</vt:lpstr>
      <vt:lpstr>'Karty przedpłacone_Tabela2'!Tytuły_wydruku</vt:lpstr>
      <vt:lpstr>pomocfinansowa_parafie_Tabela1!Tytuły_wydruku</vt:lpstr>
      <vt:lpstr>Skrzydła_Tabela4!Tytuły_wydruku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Spałka</dc:creator>
  <cp:lastModifiedBy>A Spałka</cp:lastModifiedBy>
  <cp:lastPrinted>2025-10-21T11:55:20Z</cp:lastPrinted>
  <dcterms:created xsi:type="dcterms:W3CDTF">2025-09-13T10:50:41Z</dcterms:created>
  <dcterms:modified xsi:type="dcterms:W3CDTF">2025-10-23T11:54:47Z</dcterms:modified>
</cp:coreProperties>
</file>